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6795" firstSheet="1" activeTab="1"/>
  </bookViews>
  <sheets>
    <sheet name="To Bia" sheetId="1" r:id="rId1"/>
    <sheet name="CDKT" sheetId="2" r:id="rId2"/>
    <sheet name="KQKD" sheetId="3" r:id="rId3"/>
    <sheet name="LCTT" sheetId="4" r:id="rId4"/>
    <sheet name="T. Minh" sheetId="5" r:id="rId5"/>
    <sheet name="T. Minh Von" sheetId="6" r:id="rId6"/>
    <sheet name="TM Bo phan" sheetId="7" r:id="rId7"/>
  </sheets>
  <externalReferences>
    <externalReference r:id="rId10"/>
  </externalReferences>
  <definedNames>
    <definedName name="_xlnm.Print_Titles" localSheetId="1">'CDKT'!$8:$8</definedName>
  </definedNames>
  <calcPr fullCalcOnLoad="1"/>
</workbook>
</file>

<file path=xl/sharedStrings.xml><?xml version="1.0" encoding="utf-8"?>
<sst xmlns="http://schemas.openxmlformats.org/spreadsheetml/2006/main" count="879" uniqueCount="740">
  <si>
    <t>Mã chứng khoán niêm yết: DZM</t>
  </si>
  <si>
    <t>Trụ sở chính của Công ty cổ phần chế tạo máy Dzĩ An</t>
  </si>
  <si>
    <t>Số 3, đường số 1, KCN Sóng Thần, Huyện Dĩ An, Tỉnh Bình Dương.</t>
  </si>
  <si>
    <t>Các Công ty con, chi nhánh và đơn vị trực thuộc của Công ty đến 30/09/2010 như sau:</t>
  </si>
  <si>
    <t>1. Văn phòng đại diện tại Hà Nội: Phòng 2202, tòa nhà 101 Láng Hạ, Đống Đa, Hà Nội.</t>
  </si>
  <si>
    <t>2. Văn phòng đại diện tại Tp HCM: Phòng B0704 tòa nhà Central Garden, 225 Bến Chương Dương, P. Cô Giang, Quận 1</t>
  </si>
  <si>
    <t>3. Chi nhánh tại Đà Nẵng thành lập theo giấy chứng nhận số 3213002231 cấp ngày 26/09/2008.</t>
  </si>
  <si>
    <t xml:space="preserve">4. Chi nhánh Công ty cổ phần chế tạo máy Dzĩ An tại Cambodia có tên giao dịch DZIMA CAMPUCHIA. Giấy chứng </t>
  </si>
  <si>
    <t>nhận đầu tư ra nước ngoài số 215/BKH-DTRNN cấp ngày 23/01/2009 do Bộ Kế hoạch và Đầu tư của nước Cộng Hòa Xã Hội Chủ</t>
  </si>
  <si>
    <t>nghĩa Việt Nam cấp.</t>
  </si>
  <si>
    <t>Địa chỉ chi nhánh: R.202.Phkar Chhouk Tep 2 Hotel; #10-12 St 336, Sangkart Phsar Doemkor, Khan Toul Kork, Phnom</t>
  </si>
  <si>
    <t>Penh, Cambodia.</t>
  </si>
  <si>
    <t>Tổng vốn đầu tư của dự án ra nước ngoài của Công ty cổ phần chế tạo máy Dzĩ An là 800.000 ( Tám trăm nghìn) đô la Mỹ</t>
  </si>
  <si>
    <t>Công ty mẹ mượn của chi nhánh CPC</t>
  </si>
  <si>
    <t>Trích trước chi phí lắp 80 máy VMS2</t>
  </si>
  <si>
    <t>Ngày 19 tháng 10 năm 2010</t>
  </si>
  <si>
    <t>Ngành nghề kinh doanh: Kinh doanh máy phát điện và sản xuất điện sinh khối.</t>
  </si>
  <si>
    <t>5. Chi nhánh Công ty tại Cambodia thành lập Công ty TNHH Nhà máy điện sinh khối Tonle Bet được thành lập theo giấy</t>
  </si>
  <si>
    <t>chứng nhận đăng ký kinh doanh số: 1467/09E ngày 05/05/2009 co Bộ Thương mại Cambodia cấp. Tổng vốn đầu tư nhà máy 1 triệu</t>
  </si>
  <si>
    <t>đô la Mỹ.</t>
  </si>
  <si>
    <t>Địa chỉ trụ sở chính: Ấp Toul Vihea, Xã Shiro Pi Sok, Huyện Tboung Khmum, Tỉnh Kompong Cham, Cambodia</t>
  </si>
  <si>
    <t>Ngành nghề kinh doanh: Nhà máy điện sinh khối chạy bằng trấu hay các phế liệu khác với công suất 2.8MW.</t>
  </si>
  <si>
    <t>6. Công ty thành lập Công ty TNHH Một thành viên Trấu Mê Kông theo giấy chứng nhận đăng ký kinh doanh số</t>
  </si>
  <si>
    <t>4104009359 do sở kế hoạch và đầu tư Tp. HCM cấp ngày 18/04/2009. Vốn điều lệ 5 tỷ đồng Việt Nam.</t>
  </si>
  <si>
    <t>Địa chỉ: B0704 Tòa nhà Central Garder, số 225 Bến Chương Dương, P. Cô Giang, Quận 1, HCM.</t>
  </si>
  <si>
    <t>Ngành nghề kinh doanh: Bán buôn phế liệu, phế thải kim loại - phi kim loại ( không hoạt động tại trụ sở). Vận tải hàng hóa</t>
  </si>
  <si>
    <t>đường thủy nội địa bằng phương tiện cơ giới.</t>
  </si>
  <si>
    <t>II. NIÊN ĐỘ KẾ TOÁN, ĐƠN VỊ TIỀN TỆ SỬ DỤNG TRONG KẾ TOÁN</t>
  </si>
  <si>
    <t xml:space="preserve">2. Đơn vị tiền tệ sử dụng trong kế toán </t>
  </si>
  <si>
    <t>Đồng Việt Nam ( VND) được sử dụng làm đơn vị tiền tệ để ghi sổ kế toán.</t>
  </si>
  <si>
    <t>III. CHUẨN MỰC VÀ CHẾ ĐỘ KẾ TOÁN ÁP DỤNG</t>
  </si>
  <si>
    <t>Công ty áp dụng hệ thống kế toán Việt Nam được Bộ tài chính ban hành theo Quyết định số 15/2006/QD-BTC ngày 20/03/2006</t>
  </si>
  <si>
    <t>và theo các thông tư hiện hành.</t>
  </si>
  <si>
    <t>2. Tuyên bố về việc tuân thủ chuẩn mực kế toán và chế độ kế toán.</t>
  </si>
  <si>
    <t>_Chúng tôi đã thực hiện công việc kế toán theo chuẩn mực kế toán Việt Nam và các quy định về pháp lý có liên quan. Báo cáo tài</t>
  </si>
  <si>
    <t>chính đã được trình bày một cách trung thực và hợp lý về tình hình tài chính, kết quả kinh doanh và các luồng tiền của doanh nghiệp</t>
  </si>
  <si>
    <t>_Việc lựa chọn số liệu và thông tin cần phải trình bày trong Bản Thuyết minh Báo Cáo tài chính được thực hiện theo nguyên</t>
  </si>
  <si>
    <r>
      <t>3. Hình thức kế toán áp dụng:</t>
    </r>
    <r>
      <rPr>
        <sz val="11"/>
        <rFont val="Times New Roman"/>
        <family val="1"/>
      </rPr>
      <t xml:space="preserve"> Nhật ký chung</t>
    </r>
  </si>
  <si>
    <t>IV. CÁC CHÍNH SÁCH KẾ TOÁN ÁP DỤNG</t>
  </si>
  <si>
    <r>
      <t>Tiền và các khoản tương đương tiền</t>
    </r>
    <r>
      <rPr>
        <sz val="11"/>
        <rFont val="Times New Roman"/>
        <family val="1"/>
      </rPr>
      <t xml:space="preserve"> bao gồm: Tiền mặt tại quỹ, tiền gửi ngân hàng, tiền đang chuyển và các khoản đầu tư ngắn </t>
    </r>
  </si>
  <si>
    <t>hạn có thời hạn gốc không quá ba tháng, có tính thanh khoản cao, có khả năng chuyển đổi dễ dàng thành các lượng tiền xác định và</t>
  </si>
  <si>
    <t>không có nhiều rủi ro trong chuyển đổi thành tiền.</t>
  </si>
  <si>
    <r>
      <t>Phương pháp chuyển đổi các đồng tiền khác ra đồng tiền sử dụng trong kế toán</t>
    </r>
    <r>
      <rPr>
        <sz val="11"/>
        <rFont val="Times New Roman"/>
        <family val="1"/>
      </rPr>
      <t xml:space="preserve">: Chênh lệch tỷ giá chuyển đổi ngoại tệ phát </t>
    </r>
  </si>
  <si>
    <t xml:space="preserve">sinh trong kỳ khi doanh nghiệp đang hoạt động được quy đổi theo tỷ giá giao dịch thực tế của nghiệp vụ kinh tế phát sinh, tính vào </t>
  </si>
  <si>
    <t>thu nhập hoặc chi phí tài chính và được phản ánh trên Báo cáo kết quả kinh doanh trong kỳ.</t>
  </si>
  <si>
    <t xml:space="preserve">Trong giai đoạn đầu tư xây dựng để hình thành tài sản cố định của doanh nghiệp mới thành lập, chênh lệch tỷ giá phát sinh khi thanh </t>
  </si>
  <si>
    <t>toán các khoản mục tiền tệ có gốc ngoại tệ để thực hiện đầu tư xây dựng và chênh lệch tỷ giá đánh giá lại các khoản mục tiền tệ cuối</t>
  </si>
  <si>
    <t>năm tài chính được phản ánh lũy kế, riêng biệt trên Bảng cân đối kế toán. Khi tài sản hoàn thành đầu tư xây dựng đưa vào sử dụng</t>
  </si>
  <si>
    <t xml:space="preserve">thì chênh lệch tỷ giá phát sinh trong giai đoạn này được phân bổ dần và thu nhập tài chính ( chênh lệch tỷ giá tăng) hoặc chi phí tài </t>
  </si>
  <si>
    <t>chính ( chênh lệch tỷ giá giảm) không quá 5 năm kể từ khi công trình đưa vào hoạt động.</t>
  </si>
  <si>
    <t>Số dư cuối kỳ của tài khoản vốn bằng tiền có gốc ngoại tệ phải được đánh giá lại theo tỷ giá giao dịch bình quân trên thị trường ngoại</t>
  </si>
  <si>
    <t xml:space="preserve">tệ liên Ngân hàng do Ngân hàng Nhà nước Việt Nam công bố ở thời điểm lập cáo cáo tài chính. </t>
  </si>
  <si>
    <t>_Nguyên tắc ghi nhận hàng tồn kho: Hàng tồn kho được ghi nhận theo giá gốc. Trường hợp giá trị thuần có thể thực hiện được thấp</t>
  </si>
  <si>
    <t>hơn giá gốc thì phải tính theo giá trị thuần có thể thực hiện được. Giá gốc hàng tồn kho bao gồm chi phí mua, chi phí chế biến và các</t>
  </si>
  <si>
    <t>chi phí liên quan trực tiếp khác phát sinh để có được hàng tồn kho ở địa điểm và trạng thái hiện tại (-) trừ dự phòng giảm giá và dự</t>
  </si>
  <si>
    <t>phòng cho hàng lỗi thời.</t>
  </si>
  <si>
    <t xml:space="preserve">_Phương pháp tính giá trị hàng tồn kho: Theo giá bình quân gia quyền, giá trị của từng loại hàng tồn kho được tính theo giá trị trung </t>
  </si>
  <si>
    <t>bình của từng loại hàng tồn kho tương tự đầu kỳ và giá trị từng loại hàng tồn kho được mua hoặc sản xuất trong kỳ. Giá trị trung bình</t>
  </si>
  <si>
    <t>có thể được tính theo thời kỳ.</t>
  </si>
  <si>
    <t>_Phương pháp lập dự phòng giảm giá hàng tồn kho: dự phòng cho hàng hóa tồn kho được trích lập khi giá trị tồn kho không thu hồi</t>
  </si>
  <si>
    <t>đủ, khi hàng tồn kho bị hư hỏng, lỗi thời, giá bán bị giảm, hoặc chi phí hoàn thiện, chi phí để bán hàng tăng; Cuối kỳ kế toán hàng năm,</t>
  </si>
  <si>
    <t>khi giá trị thuần có thể thực hiện được của hàng tồn kho nhỏ hơn giá trị gốc thì phải lập dự phòng giảm giá hàng tồn kho. Số dự phòng</t>
  </si>
  <si>
    <t>giảm giá hàng tồn kho là số chênh lệch giữa giá gốc hàng tồn kho lớn hơn giá trị thuần có thể thực hiện được của chúng. Việc lập dự</t>
  </si>
  <si>
    <t>phòng giảm giá hàng tồn kho được thực hiện trên cơ sở từng mặt hàng tồn kho. Việc ước tính giá trị thuần có thể thực hiện được</t>
  </si>
  <si>
    <t>của hàng tồn kho phải dựa trên bằng chứng tin cậy thu thập lại được tại thời điểm ước tính và được tính đến sự biến động giá cả hoặc</t>
  </si>
  <si>
    <t>các chi phí trực tiếp liên quan đến các sự kiện sau ngày kết thúc năm tài chính, mà các sự kiện này được các nhận với các điều kiện</t>
  </si>
  <si>
    <t>hiện có ở thời điểm ước tính.</t>
  </si>
  <si>
    <t>Phương pháp lập dự phòng áp dụng theo Thông tư số  TT228/2009/TT-BTC ngày 7/12/2009.</t>
  </si>
  <si>
    <t>Tại thời điểm 30/09/2010 công ty chưa phát sinh giảm giá hàng tồn kho.</t>
  </si>
  <si>
    <t xml:space="preserve">_Nguyên giá TSCD hữu hình và vô hình: là toàn bộ các chi phí mà doanh nghiệp phải bỏ ra để có tài sản cố định đó tính đến thời </t>
  </si>
  <si>
    <t>điểm đưa tài sản đó vào trạng thái sẵn sàng sử dụng theo dự tính.</t>
  </si>
  <si>
    <t>_Thời gian sử dụng TSCD: là thời gian doanh nghiệp dự tính sử dụng tài sản cố định vào hoạt động sản xuất, kinh doanh hoặc xác</t>
  </si>
  <si>
    <t>định theo số lượng, khối lượng sản phẩm dự kiến sản xuất được từ việc sử dụng tài sản cố định theo quy định hiện hành, ở điều kiện</t>
  </si>
  <si>
    <t>bình thường, phù hợp với các thông số kinh tế kỹ thuật của tài sản cố định và các yếu tố khác có liên quan đến sự hoạt động của tài</t>
  </si>
  <si>
    <t>sản cố định.</t>
  </si>
  <si>
    <t>_Hao mòn TSCD: là sự giảm dần giá trị sử dụng và giá trị của tài sản cố định do tham gia vào hoạt động sản xuất kinh doanh, do bào</t>
  </si>
  <si>
    <t>mòn tự nhiên, do tiến bộ kỹ thuật,… Trong quá trình hoạt động TSCD.</t>
  </si>
  <si>
    <t>_Giá trị còn lại của TSCD: là hiệu số giữa nguyên giá của TSCD sau khi trừ (-) số khấu hao lũy kế của TSCD tính đến thời điểm báo</t>
  </si>
  <si>
    <t>cáo.</t>
  </si>
  <si>
    <t>_Khấu hao TSCD: là việc tính toán và phân bổ một cách có hệ thống nguyên giá của tài sản cố định vào chi phí sản xuất, kinh doanh</t>
  </si>
  <si>
    <t>trong thời gian sử dụng của TSCD.</t>
  </si>
  <si>
    <t xml:space="preserve">_Phương pháp khấu hao TSCD: khấu hao được ghi nhận theo phương pháp đường thẳng dựa trên thời gian hữu dụng ước tính của </t>
  </si>
  <si>
    <t>các tàn sản trong phạm vi thông tư 203/2009/TT-BTC ngày 20/10/2009 của Bộ tài Chính.</t>
  </si>
  <si>
    <t>Thời gian sử dụng của các TSCD:</t>
  </si>
  <si>
    <t>Nhà xưởng, vật kiến trúc</t>
  </si>
  <si>
    <t>5-50 năm</t>
  </si>
  <si>
    <t>3-20 năm</t>
  </si>
  <si>
    <t>Phương tiện vận tải, truyền dẫn</t>
  </si>
  <si>
    <t>4-30 năm</t>
  </si>
  <si>
    <t>Thiết bị, dụng cụ quản lý</t>
  </si>
  <si>
    <t>5-10 năm</t>
  </si>
  <si>
    <t>Tài sản cố định vô hình</t>
  </si>
  <si>
    <t>thời hạn tối đa 20 năm</t>
  </si>
  <si>
    <t>TSCD vô hình là đất có thời hạn, thời gian sử dụng là thời hạn được phép sử dụng đất theo quy định.</t>
  </si>
  <si>
    <t>_Nguyên tắc ghi nhận các khoản đầu tư vào công ty con: Công ty con là doanh nghiệp chịu sự kiểm soát của một doanh nghiệp khác</t>
  </si>
  <si>
    <t>( gọi là công ty mẹ). Khi khoản đầu tư vào Công ty được nắm giữ trên 50% vốn chủ sở hữu ( nắm giữ trên 50% quyền biểu quyết)</t>
  </si>
  <si>
    <t>và có quyền chi phối các chính sách và hoạt động của doanh nghiệp nhằm thu được lợi ích kinh tế từ các hoạt động của doanh nghiệp</t>
  </si>
  <si>
    <t xml:space="preserve">đó. Khi doanh nghiệp đầu tư không còn quyền kiểm soát doanh nghiệp con thì ghi giảm khoản đầu tư và công ty con. Các khoản </t>
  </si>
  <si>
    <t>đầu tư này được phản ánh trên báo cáo tài chính riêng của công ty mẹ theo phương pháp giá gốc.</t>
  </si>
  <si>
    <t>_Nguyên  tắc ghi nhận các khoản đầu tư và công ty liên kết: Các công ty được xem là công ty liên kết với công ty khi công ty có</t>
  </si>
  <si>
    <t>vốn chủ sở hữu dài hạn trong các công ty này từ 20% đến dưới 50% ( từ 20% đến dưới 50% quyền biểu quyết), có ảnh hưởng đáng</t>
  </si>
  <si>
    <t>kể trong các quyết định về chính sách tài chính và hoạt động tại các công ty này. Các khoản đầu tư này được phản ánh trên báo cáo</t>
  </si>
  <si>
    <t>tài chính theo phương pháp giá gốc.</t>
  </si>
  <si>
    <t>_Phương pháp giá gốc: Là phương pháp kế toán mà khoản đầu tư được ghi nhận ban đầu theo giá gốc, sau đó không điều chỉnh theo</t>
  </si>
  <si>
    <t>những thay đổi của phần sở hữu của các nhà đầu tư trong tài sản thuần của bên nhận đầu tư. Báo cáo kết quả hoạt động kinh doanh</t>
  </si>
  <si>
    <t>chỉ phản ánh khoản thu nhập của các nhà đầu tư được phân chia lợi nhuận thuần lũy kế của bên nhận đầu tư.</t>
  </si>
  <si>
    <t>_Nguyên tắc ghi nhận các khoản vốn góp vào cơ sở kinh doanh đồng kiểm soát: Khoản vốn góp vào cơ sở kinh doanh đồng kiểm soát</t>
  </si>
  <si>
    <t xml:space="preserve">được hạch toán khi công ty có quyền đồng kiểm soát các chính sách tài chính và hoạt động của cơ sở này. Khi công ty không còn </t>
  </si>
  <si>
    <t xml:space="preserve">quyền đồng kiểm soát thì ghi giảm khoản đầu tư vào cơ sở kinh doanh đồng kiểm soát. Các khoản đầu tư này được phản ánh trên </t>
  </si>
  <si>
    <t>báo cáo tài chính theo phương pháp giá gốc. Khi góp vốn bằng tàn sản phi tiền tệ ( hàng tồn kho, TSCD,..) ghi nhận toàn bộ phần</t>
  </si>
  <si>
    <t xml:space="preserve">chênh lệch giữa giá đánh giá lại ( do các bên thỏa thuận) lớn hơn giá trị ghi sổ của tài sản phi tiền tệ mang đi góp vốn liên doanh vào </t>
  </si>
  <si>
    <t>thu nhập khác.</t>
  </si>
  <si>
    <t>_Nguyên tắc ghi nhận các khoản đầu tư ngắn hạn và dài hạn khác: Là các khoản đầu tư như: trái phiếu, cổ phiếu hoặ các khoản vốn</t>
  </si>
  <si>
    <t>công ty đang đầu tư vào các tổ chức kinh tế khác được thành lập theo quy định của pháp luật ( công ty nhà nước, công ty trách nhiệm</t>
  </si>
  <si>
    <t xml:space="preserve">hữu hạn, công ty cổ phần, công ty hợp danh) mà chỉ nắm giữ dưới 20% vốn chủ sở hữu ( dưới 20% quyền biểu quyết) và thời hạn </t>
  </si>
  <si>
    <t>thu hồi dưới 1 năm ( đầu tư ngắn hạn) hoặc trên 1 năm ( đầu tư dài hạn).</t>
  </si>
  <si>
    <t>_Phương pháp lập dự phòng giảm giá đầu tư ngắn hạn, dài hạn: Là dự phòng phần giá trị bị tổn thất do các loại chứng khoán đầu tư</t>
  </si>
  <si>
    <t xml:space="preserve">của công ty bị giảm giá; giá trị các khoản đầu tư tài chính bị tổn thất do tổ chức kinh tế mà công ty đang đầu tư bị lỗ. Các khoản </t>
  </si>
  <si>
    <t>dự phòng này được trích trước vào chi phí hoạt động kinh doanh năm báo cáo của công ty giúp cho công ty có nguồn tài chính để</t>
  </si>
  <si>
    <t>bù đắp tổn thất có thể xảy ra trong năm kế hoạch, nhằm bảo toàn vốn kinh doanh; đảm bảo các khoản đầu tư tài chính không cao</t>
  </si>
  <si>
    <t>hơn giá cả trên thị trường hoặc giá trị có thể thu hồi tại thời điểm lập báo cáo.</t>
  </si>
  <si>
    <t xml:space="preserve">Mức trích lập dự phòng giảm giá đầu tư ngắn hạn, dài hạn được thực hiện theo thông tư số T228/2009/TT-BTC ngày 07/12/2009. </t>
  </si>
  <si>
    <t>Đến 30/06/2010 công ty chưa phát sinh khoản lập dự phòng này.</t>
  </si>
  <si>
    <r>
      <t>Chi phí vay</t>
    </r>
    <r>
      <rPr>
        <sz val="11"/>
        <rFont val="Times New Roman"/>
        <family val="1"/>
      </rPr>
      <t>: Là lãi tiền vay và các chi phí khác phát sinh liên quan trực tiếp đến các khoản phải vay của doanh nghiệp; Được ghi</t>
    </r>
  </si>
  <si>
    <t>nhận như khoản chi phí sản xuất, kinh doanh trong kỳ trừ khi chi phí này phát sinh từ các khoản vay liên quan trực tiếp đến việc đầu</t>
  </si>
  <si>
    <t xml:space="preserve">tư xây dựng hoặc sản xuất tài sản dở dang được tính vào giá trị tài sản đó ( được vốn hóa) khi có đủ điều kiện quy định tại chuẩn </t>
  </si>
  <si>
    <t>mực kế toán số 16 " Chi phí đi vay".</t>
  </si>
  <si>
    <t xml:space="preserve">hoặc phát hành bổ sung cổ phiếu và chênh lệch tăng, giảm giữa số tiền thực tế thu được so với giá mua lại khi tái phát hành cổ </t>
  </si>
  <si>
    <r>
      <t xml:space="preserve">Tỷ lệ vốn hóa được sử dụng để xác định chi phí đi vay được vốn hóa trong kỳ: </t>
    </r>
    <r>
      <rPr>
        <sz val="11"/>
        <rFont val="Times New Roman"/>
        <family val="1"/>
      </rPr>
      <t>Trường hợp phát sinh các khoản vốn vay chung</t>
    </r>
  </si>
  <si>
    <t xml:space="preserve">trong đó có sử dụng cho mục đích đầu tư xây dựng hoặc sản xuất một tài sản dở dang thì số chi phí đi vay có đủ điều kiện vốn hóa trong </t>
  </si>
  <si>
    <t xml:space="preserve">mỗi kỳ kế toán được xác định theo tỷ lệ vốn hóa đối với chi phí lũy kế bình quân gia quyền phát sinh cho việc đầu tư xây dựng </t>
  </si>
  <si>
    <t>hoặc sản xuất tài sản đó. Tỷ lệ vốn hóa được tính theo tỷ lệ lãi suất bình quân gia quyền của các khoản vay chưa trả trong kỳ của</t>
  </si>
  <si>
    <t>doanh nghiệp. Chi phí đi vay được vốn hóa trong kỳ không được vượt quá tổng số chi phí đi vay phát sinh trong ký đó.</t>
  </si>
  <si>
    <r>
      <t>Chi phí trả trươc ngắn hạn và dài hạn</t>
    </r>
    <r>
      <rPr>
        <sz val="11"/>
        <rFont val="Times New Roman"/>
        <family val="1"/>
      </rPr>
      <t>: Là những chi phí thực tế đã phát sinh, nhưng có liên quan tới hoạt động sản xuất kinh doanh</t>
    </r>
  </si>
  <si>
    <t xml:space="preserve">của nhiều kỳ hạch toán trong 1 năm tài chính hoặc một kỳ kinh doanh ( ngắn han; hoặc trên 1 năm tài chính (dài hạn). Nên chưa </t>
  </si>
  <si>
    <t>thể tính hết vào chi phí SXKD trong kỳ phát sinh mà được tính vào nhiều kỳ kế toán tiếp theo.</t>
  </si>
  <si>
    <t xml:space="preserve">Chi phí trả trước chủ yếu: Chi phí thành lập doanh nghiệp, tiền thuê nhà xưởng văn phòng, các khoản bảo hiểm có kỳ hạn, bao bì </t>
  </si>
  <si>
    <t>luân chuyển, lãi mua hàng trả góp, trả chậm và các chi phí khác phát sinh một lần quá lớn cần phải phân bổ cho nhiều kỳ kế toán.</t>
  </si>
  <si>
    <r>
      <t>Phương pháp phân bổ chi phí trả trước:</t>
    </r>
    <r>
      <rPr>
        <sz val="11"/>
        <rFont val="Times New Roman"/>
        <family val="1"/>
      </rPr>
      <t xml:space="preserve"> Việc tính và phân bổ chi phí trả trước vào chi phí SXKD từng kỳ được căn cứ vào tính </t>
    </r>
  </si>
  <si>
    <t>chất và mức độ từng loại chi phí. Chi phí trả trươc ngắn hạn phân bổ trong vòng 1 năm; chi phí trả trước dài hạn phân bổ trên 1 năm.</t>
  </si>
  <si>
    <r>
      <t>Chi phí phải trả</t>
    </r>
    <r>
      <rPr>
        <sz val="11"/>
        <rFont val="Times New Roman"/>
        <family val="1"/>
      </rPr>
      <t>: là những khoản chi phí thực tế chưa phát sinh nhưng được tính trước vào chi phí sản xuất kinh doanh trong kỳ cho</t>
    </r>
  </si>
  <si>
    <t xml:space="preserve">các đối tượng chịu chi phí để đảm bảo khi các khoản chi trả phát sinh thực tế không gây đột biến cho chi phí SXKD. Việc hạch </t>
  </si>
  <si>
    <t>toán các khoản chi phí phải trả này vào chi phí SXKD trong kỳ được thực hiện theo nguyên tắc phù hợp giữa doanh thu và chi</t>
  </si>
  <si>
    <t>phí trong kỳ.</t>
  </si>
  <si>
    <t>Chi phí phải trả chủ yếu chi phí sửa chữa lớn TSCD do đặc thù việc sửa chữa lớn có tính chất chu kỳ, chi phí lãi vay phải trả trong</t>
  </si>
  <si>
    <t>trường hợp vay trả lãi sau, lãi trái phiếu trả sau và chi phí ngừng sản xuất kinh doanh theo mùa vụ,..</t>
  </si>
  <si>
    <t>Nguyên tắc ghi nhận vốn đầu tư của chủ sở hữu:</t>
  </si>
  <si>
    <t>Nguồn vốn kinh doanh được hình thành từ số tiền mà các thành viên hay cổ đông đã góp vốn mua cổ phần, cổ phiếu, hoặc được</t>
  </si>
  <si>
    <t>bổ sung từ lợi nhuận sau thuế theo Nghị quyết của Đại hội đồng cổ đông doanh nghiệp hoặc theo quy định trong điều lệ hoạt động</t>
  </si>
  <si>
    <t>của công ty. Nguồn vốn kinh doanh được ghi nhận theo số vốn thực tế đã góp bằng tiền hoặc bằng tài sản tính theo mệnh giá của</t>
  </si>
  <si>
    <t>cổ phiếu đã phát hành khi mới thành lập, hoặc huy động thêm để mở rộng quy mô hoạt động của công ty.</t>
  </si>
  <si>
    <r>
      <t>Ghi giảm nguồn vốn kinh doanh:</t>
    </r>
    <r>
      <rPr>
        <sz val="11"/>
        <rFont val="Times New Roman"/>
        <family val="1"/>
      </rPr>
      <t xml:space="preserve"> khi công ty nộp trả vốn cho Ngân sách nhà nước, bị điều động vốn cho doanh nghiệp khác trong </t>
    </r>
  </si>
  <si>
    <t>nội bộ Tổng công ty ( Công ty nhà nước); Trả lại vốn cho các cổ đông hoặc các bên góp vốn liên doanh hoặc giải thể, thanh lý .</t>
  </si>
  <si>
    <t>doanh nghiệp, hoặc xử lý bù lỗ kinh doanh theo quyết định của Đại hội cổ đông.</t>
  </si>
  <si>
    <t>Nguyên tắc ghi nhận thặng dư vốn cổ phần và vốn khác:</t>
  </si>
  <si>
    <r>
      <t>_Thặng dư vốn cổ phần</t>
    </r>
    <r>
      <rPr>
        <sz val="11"/>
        <rFont val="Times New Roman"/>
        <family val="1"/>
      </rPr>
      <t>: Phản ánh khoản chênh lệch tăng giữa số tiền thực tế thu được so với mệnh giá khi phát hành lần đầu</t>
    </r>
  </si>
  <si>
    <t>phiếu ( đối với công ty cổ phần). Trường hợp mua lại cổ phiếu để hủy bỏ ngay tại ngày mua thì giá trị cổ phiếu được ghi giảm</t>
  </si>
  <si>
    <t>nguồn vốn kinh doanh tại ngày mua là giá thực tế mua lại và cũng phải ghi giảm nguồn vốn kinh doanh chi tiết theo mệnh giá và</t>
  </si>
  <si>
    <t>phần thặng dư vốn cổ phần của cổ phiếu mua lại.</t>
  </si>
  <si>
    <r>
      <t>_Vốn khác</t>
    </r>
    <r>
      <rPr>
        <sz val="11"/>
        <rFont val="Times New Roman"/>
        <family val="1"/>
      </rPr>
      <t>: Phản ánh số vốn kinh doanh được hình thành do bổ sung từ kết quả hoạt động kinh doanh hoặc được tặng, biếu</t>
    </r>
  </si>
  <si>
    <t>tài trợ, đánh giá lại tai sản.</t>
  </si>
  <si>
    <t>Nguyên tắc ghi nhận lợi nhuận chưa phân phối.</t>
  </si>
  <si>
    <t>Nguyên tắc ghi nhận lợi nhuận chưa phân phối: được ghi nhận là số lợi nhuận ( hoặc lỗ) từ kết quả hoạt động kinh doanh của</t>
  </si>
  <si>
    <t>doanh nghiệp sau khi trừ (-) chi phí thuế thu nhập doanh nghiệp của kỳ hiện hành và các khoản điều chỉnh do áp dụng hồi tố</t>
  </si>
  <si>
    <t>thay đổi chính sách kế toán và điều chỉnh hồi tố sai sót trọng yếu của các năm trước.</t>
  </si>
  <si>
    <t>Việc phân phối lợi nhuận được căn cứ vào điều lệ và quyết định Hội đồng quản trị được thông qua đại hội cổ đông hàng năm.</t>
  </si>
  <si>
    <t xml:space="preserve">Nguyên tắc và phương pháp ghi nhận Doanh thu bán hàng: </t>
  </si>
  <si>
    <t>Doanh thu bán hàng là bán sản phẩm do doanh nghiệp sản xuất ra, bán hàng hóa mua vào và bán bất động sản đầu tư. Doanh thu</t>
  </si>
  <si>
    <t xml:space="preserve">bán hàng được ghi nhận khi đồng thời thỏa mãn 5 điều kiện sau: 1. Doanh nghiệp đã chuyển giao phần lớn rủi ro và lợi ích gắn </t>
  </si>
  <si>
    <t xml:space="preserve">liền quyền sở hữu sản phẩm hoặc hàng hóa cho người mua; 2. Doanh nghiệp không còn nắm giữ quyền quản lý hàng hóa như </t>
  </si>
  <si>
    <t>nguười sở hữu hàng hóa hoặc quyền kiểm soát hàng hóa; 3. Doanh thu được xác định tương đối chắc chắn; 4. Doanh nghiệp đã</t>
  </si>
  <si>
    <t>thu được lợi ích kinh tế từ giao dịch bán hàng; 5. Xác định chi phí liên quan đến giao dịch bán hàng.</t>
  </si>
  <si>
    <t>Nguyên tắc và phương pháp ghi nhận Doanh thu cung cấp dịch vụ</t>
  </si>
  <si>
    <t>Doanh thu cung cấp dịch vụ là thực hiện công việc đã thỏa thuận theo hợp đồng trong một kỳ, hoặc nhiều kỳ kế toán. Doanh thu</t>
  </si>
  <si>
    <t xml:space="preserve">cung cấp dịch vụ được xác định khi thỏa mãn tất cả 4 điều kiện sau: 1. Doanh thu được xác định tương đối chắc chắn; 2. Có </t>
  </si>
  <si>
    <t>khả năng thu được lợi ích kinh tế từ giao dịch cung cấp dịch vụ đó; 3. Xác định được phần công việc đã hoàn thành vào ngày</t>
  </si>
  <si>
    <t>lập Bảng Cân đối kế toán; 4. Xác định được chi phí phát sinh cho giao dịch và chi phí hoàn thành giao dịch cung cấp dịch vụ đó.</t>
  </si>
  <si>
    <t>Nguyên tắc và phương pháp ghi nhận Doanh thu hoạt động tài chính</t>
  </si>
  <si>
    <t>Doanh thu hoạt động tài chính phản ánh doanh thu từ tiền lãi, tiền bản quyền, cổ tức, lợi nhuận được chia và doanh thu hoạt động</t>
  </si>
  <si>
    <t>tài chính khác của doanh nghiệp ( đầu tư mua bán chứng khoán, thanh lý các khoản vốn góp liên doanh, đầu tư vào công ty liên</t>
  </si>
  <si>
    <t>kết, công ty con, đầu tư vốn khác; lãi tỷ giá hối đoái; Lãi chuyển nhượng vốn)…. Doanh thu tài chính được ghi nhận khi thỏa</t>
  </si>
  <si>
    <t>mãn đồng thời 2 điều kiện: 1. Có khả năng thu được lợi ích từ giao dịch đó; 2. Doanh thu được xác định tương đối chắc chắn.</t>
  </si>
  <si>
    <t xml:space="preserve">Chi phí tài chính bao gồm: Các khoản chi phí hoặc khoản lỗ liên quan đến các hoạt động đầu tư tài chính, chi phí đi vay và đi vay </t>
  </si>
  <si>
    <t xml:space="preserve">vốn, chi phí góp vốn liên doanh, liên kết, lỗ chuyển nhượng chứng khoán ngắn hạn, chi phí giao dịch bán chứng khoán.., Dự </t>
  </si>
  <si>
    <t>phòng giảm giá đầu tư tài chính, khoản lỗ phát sinh khi bán ngoại tệ, lỗ tỷ giá hối đoái; Chiết khấu thanh toán cho người mua</t>
  </si>
  <si>
    <t>và các khoản đầu tư tài chính khác.</t>
  </si>
  <si>
    <t>Khoản chi phí tài chính được ghi nhận chi tiết cho từng nội dung chi phí khi thực tế phát sinh trong kỳ và được xác định</t>
  </si>
  <si>
    <t>một cách đáng tin cậy khi có đầy đủ bằng chứng về các khoản chi phí này.</t>
  </si>
  <si>
    <t>Chi phí thuế thu nhập doanh nghiệp: Là tổng chi phí thuế TNDN hiện hành và chi phí thuế TNDN hoãn lại khi xác định lợi nhuận</t>
  </si>
  <si>
    <t>hoặc lỗ của một kỳ kế toán.</t>
  </si>
  <si>
    <t>Thuế TNDN hiện hành: là số thuế TNDN phải nộp ( hoặc thu hồi được) tính trên thu nhập chịu thuế và thuế suất thuế TNDN</t>
  </si>
  <si>
    <t>của năm hiện hành theo Luật thuế TNDN hiện hành được ghi nhận.</t>
  </si>
  <si>
    <t>Thuế TNDN hoãn lại bao gồm thuế thu nhập hoãn lại phải trả và tài sản thuế thu nhập hoãn lại; Thuế thu nhập hoãn lại phải</t>
  </si>
  <si>
    <t>trả: là số thuế TNDN sẽ phải nộp trong tương lai tính trên các khoản chênh lệch tạm thời chịu thuế TNDN trong năm hiện</t>
  </si>
  <si>
    <t xml:space="preserve">hành; Tài sản thuế thu nhập hoãn lại: là số thuế TNDN sẽ được hoàn lại trong tương lai tính trên các khoản sau: a) Chênh </t>
  </si>
  <si>
    <t xml:space="preserve">lệch tạm thời được khấu trừ; b) Giá trị được khấu trừ chuyển sang năm sau của các khoản lỗ tính thuế chưa sử dụng; và c) </t>
  </si>
  <si>
    <t>Giá trị được khấu trừ chuyển sang năm sau của các khoản ưu đãi thuế chưa sử dụng.</t>
  </si>
  <si>
    <t>Chênh lệch tỷ giá hối đoái phát sinh do đánh giá lại số dư ngoại tệ cuối kỳ của các khoản mục tiền tệ, công nợ phả thu</t>
  </si>
  <si>
    <t>và phải trả ra đồng " Việt Nam" theo tỷ giá bình quân liên ngân hàng do Ngân hàng nhà nước VN công bố tại thời</t>
  </si>
  <si>
    <t>điểm khóa sổ.</t>
  </si>
  <si>
    <t>Các nghiệp vụ dự phòng rủi ro hối đoái thực hiện theo Thông tư số 201/2009/TT-BTC ngày 15/10/2009 và Thông</t>
  </si>
  <si>
    <t>tư số 177/2009/TT-BTC ngày 10/09/2009 hướng dẫn về xử lý các khoản chênh lệch tỷ giá trong doanh nghiệp.</t>
  </si>
  <si>
    <t>_Nguyên tắc ghi nhận thông tin về các bên liên quan</t>
  </si>
  <si>
    <r>
      <t>Các bên được coi là liên quan</t>
    </r>
    <r>
      <rPr>
        <sz val="11"/>
        <rFont val="Times New Roman"/>
        <family val="1"/>
      </rPr>
      <t xml:space="preserve"> nếu một bên có khả năng kiểm soát hoặc có ảnh hưởng đáng kể đối với bên kia trong việc ra</t>
    </r>
  </si>
  <si>
    <t>quyết định các chính sách tài chính hoạt động.</t>
  </si>
  <si>
    <r>
      <t>Các bên liên quan cần được trình bày gồm:</t>
    </r>
    <r>
      <rPr>
        <sz val="11"/>
        <rFont val="Times New Roman"/>
        <family val="1"/>
      </rPr>
      <t xml:space="preserve"> Công ty mẹ, công ty con, các bên liên doanh; cơ sở kinh doanh đồng kiểm soát</t>
    </r>
  </si>
  <si>
    <t>các công ty liên kết; các cá nhân có quyền trực tiếp hoặc gián tiếp biểu quyết ở công ty dẫn đến tính ảnh hưởng đáng kể tới</t>
  </si>
  <si>
    <t>công ty, kể cả các thành viên mật thiết trong gia đình của các cá nhân này; các nhân viên chủ chốt có quyền và trách nhiệm</t>
  </si>
  <si>
    <t>lập kế hoạch, quản lý và hoạt động của công ty, các doanh nghiệp của các cá nhân có ảnh hưởng đáng kể đang nắm</t>
  </si>
  <si>
    <t>quyền quản lý, kiếm soát và chi phối công ty.</t>
  </si>
  <si>
    <r>
      <t>Các giao dịch chủ yếu giữa các bên liên quan được trình bày trong thuyết minh báo cáo tài chính</t>
    </r>
    <r>
      <rPr>
        <sz val="11"/>
        <rFont val="Times New Roman"/>
        <family val="1"/>
      </rPr>
      <t>: Mua hoặc bán hàng hóa</t>
    </r>
  </si>
  <si>
    <t>tài sản. Cung cấp hay nhận dịch vụ; Giao dịch đại lý; Giao dịch thuê tài sản; Chuyển giao về nghiên cứu và phát triển; Thỏa thuận về</t>
  </si>
  <si>
    <t xml:space="preserve">giấy phép; Các khoản góp vốn, vay và tài trợ; Bảo lãnh và thế chấp; Các hợp đồng quản lý. </t>
  </si>
  <si>
    <t>1. Tiền và các khoản tương đương tiền</t>
  </si>
  <si>
    <t>30/09/2010</t>
  </si>
  <si>
    <t xml:space="preserve">Tiền </t>
  </si>
  <si>
    <t>3.Hàng tồn kho</t>
  </si>
  <si>
    <t>4. Tài sản ngắn hạn khác</t>
  </si>
  <si>
    <t>Tài sản ngắn hạn</t>
  </si>
  <si>
    <t>Tạm ứng</t>
  </si>
  <si>
    <t>Ký quỹ, ký cược ngắn hạn</t>
  </si>
  <si>
    <t>Ký quỹ mở LC, Bảo lãnh bảo hành</t>
  </si>
  <si>
    <t xml:space="preserve">Cộng </t>
  </si>
  <si>
    <t>Số dư đầu năm</t>
  </si>
  <si>
    <t>_Mua mới trong năm</t>
  </si>
  <si>
    <t>_Khấu hao trong năm</t>
  </si>
  <si>
    <t>Mua trong năm</t>
  </si>
  <si>
    <t>Số dư cuối năm</t>
  </si>
  <si>
    <t>Khấu hao trong năm</t>
  </si>
  <si>
    <t>Giá trị còn lại</t>
  </si>
  <si>
    <t>Chi phí xây dựng cơ bản dở dang cho các dự án</t>
  </si>
  <si>
    <t>V. Các khoản đầu tư tài chính dài han</t>
  </si>
  <si>
    <t>Ngày 30/09/2010</t>
  </si>
  <si>
    <t>Khảo sát địa chất nhà máy Đà Nẵng</t>
  </si>
  <si>
    <t>Khảo sát địa chất nhà máy Tonle Bet</t>
  </si>
  <si>
    <t>11. Vay và nợ ngắn hạn</t>
  </si>
  <si>
    <t>Vay ngắn hạn ngân hàng</t>
  </si>
  <si>
    <t>Thuế giá trị gia tăng hàng bán nội địa</t>
  </si>
  <si>
    <t>Thuế giá trị gia tăng hàng nhập khẩu</t>
  </si>
  <si>
    <t>Thuế xuất, nhập khẩu</t>
  </si>
  <si>
    <t>Thuế Thu nhập doanh nghiệp</t>
  </si>
  <si>
    <t>Các khoản phí, lệ phí và các khoản phải nộp khác</t>
  </si>
  <si>
    <t>Phan Sơn</t>
  </si>
  <si>
    <t>14. Vốn chủ sở hữu</t>
  </si>
  <si>
    <t>a. Bảng đối chiếu biến động của Vốn chủ sở hữu ( xem trang kèm theo)</t>
  </si>
  <si>
    <t>Vốn góp của các nhà đầu tư</t>
  </si>
  <si>
    <t>Từ 01/01/2010 đến 30/09/2010</t>
  </si>
  <si>
    <t>Vốn góp đầu năm</t>
  </si>
  <si>
    <t>Vốn góp tăng trong năm</t>
  </si>
  <si>
    <t>Vốn góp cuối năm</t>
  </si>
  <si>
    <t>Cổ tức đã công bố sau ngày kết thúc niên độ</t>
  </si>
  <si>
    <t>Cổ tức đã công bố trên cổ phiếu ưu đãi</t>
  </si>
  <si>
    <t>Cổ tức cổ phiếu ưu đãi lũy kế chưa ghi nhận</t>
  </si>
  <si>
    <t>Số lượng cổ phiếu đã bán ra công chúng</t>
  </si>
  <si>
    <t>f. Các quỹ của doanh nghiệp</t>
  </si>
  <si>
    <t>Mục đích trích lập và sử dụng các quỹ của doanh nghiệp</t>
  </si>
  <si>
    <t xml:space="preserve">_Quỹ đầu tư phát triển được trích lập từ lợi nhuận sau thuế của doanh nghiệp và được sử dụng vào việc đầu tư mở rộng </t>
  </si>
  <si>
    <t>quy mô sản xuất, kinh doanh hoặc đầu tư chiều sâu của doanh nghiệp</t>
  </si>
  <si>
    <t>_Quỹ dự phòng tài chính được trích lập từ lợi nhuận sau thuế của doanh nghiệp và được sử dụng vào xử lý khi doanh</t>
  </si>
  <si>
    <t>nghiệp gặp rủi ro về kinh doanh hoặc thua lỗ kéo dài</t>
  </si>
  <si>
    <t>VI. THÔNG TIN BỔ SUNG CHO CÁC KHOẢN MỤC TRÌNH BÀY TRONG BÁO CÁO KẾT QUA HDKD</t>
  </si>
  <si>
    <t>Giá vốn sản phẩm đã bán</t>
  </si>
  <si>
    <t>Lãi tiền gửi, tiền cho vay</t>
  </si>
  <si>
    <t xml:space="preserve">   3.Thu nhập chịu thuế năm hiện hành ( 1+2)</t>
  </si>
  <si>
    <t xml:space="preserve">   5. Điều chỉnh chi phí thuế TNCN của các năm trước</t>
  </si>
  <si>
    <t xml:space="preserve">      vào chi phí thuế TNDN năm nay</t>
  </si>
  <si>
    <t xml:space="preserve">   6. Tổng chi phí thuế TNDN năm hiện hành</t>
  </si>
  <si>
    <t>8. Chi phí sản xuất kinh doanh theo yếu tố</t>
  </si>
  <si>
    <t>9. Lãi cơ bản trên cổ phiếu</t>
  </si>
  <si>
    <t xml:space="preserve">Các khoản điều chỉnh tăng hoặc giảm </t>
  </si>
  <si>
    <t xml:space="preserve">     Các khoản điều chỉnh tăng</t>
  </si>
  <si>
    <t xml:space="preserve">     Điều chỉnh giảm lợi nhuận chia cho đơn vị hợp tác kinh doanh</t>
  </si>
  <si>
    <t>Lợi nhuận hoặc lỗ phân bổ cho cổ đông</t>
  </si>
  <si>
    <t>sở hữu cổ phiếu phổ thông</t>
  </si>
  <si>
    <t>Cổ phiếu phổ thông đang lưu hành bình quân trong kỳ</t>
  </si>
  <si>
    <t>VII. NHỮNG THÔNG TIN KHÁC</t>
  </si>
  <si>
    <t>1. Giao dịch với các bên liên quan</t>
  </si>
  <si>
    <t>Bên liên quan</t>
  </si>
  <si>
    <t>Mối quan hệ</t>
  </si>
  <si>
    <t>Tính chất giao dịch</t>
  </si>
  <si>
    <t>Phát sinh trong kỳ</t>
  </si>
  <si>
    <t>Đặng Thu Hiền</t>
  </si>
  <si>
    <t>GĐ điều hành</t>
  </si>
  <si>
    <t>GĐ Tài chính</t>
  </si>
  <si>
    <t>Nhà máy Tonle Bet Cambodia</t>
  </si>
  <si>
    <t>Bán hàng hóa</t>
  </si>
  <si>
    <t>Chi nhánh Cambodia</t>
  </si>
  <si>
    <t>2. Thông tin so sánh</t>
  </si>
  <si>
    <t>Việc thay đổi trình bày Bảng cân đối kế toán lại theo Thông tư 244/2009/TT-BTC ban hành ngày 31/12/2009 của Bộ Tài Chính áp</t>
  </si>
  <si>
    <t>dụng năm 2010, do đó thông tin so sánh số đầu kỳ ngày 01/01/2010 được thay đổi như sau:</t>
  </si>
  <si>
    <t>Quỹ khen thưởng phúc lợi ( mã số 431) tại ngày 31/12/2009</t>
  </si>
  <si>
    <t>Trình bày lại</t>
  </si>
  <si>
    <t>Quỹ khen thưởng phúc lợi ( mã số 323) tại ngày 01/01/2010</t>
  </si>
  <si>
    <t>thiết bị; Lắp đặt máy móc thiết bị công nghiệp; Sản xuất điện ( không hoạt động tại trụ sở).</t>
  </si>
  <si>
    <t xml:space="preserve">Sản xuất máy phát điện, thiết bị phân phối và điều khiển điện; Sản xuất lò nung hóa khí phế liệu sinh khối rắn; Sửa chữa máy móc </t>
  </si>
  <si>
    <t>1. Ước tính kế toán:</t>
  </si>
  <si>
    <t>Việc lấp báo cáo tài chính hợp nhất tuân thủ theo Chuẩn mực kế toán Việt Nam. Hệ thống kế toán Việt Nam và các quy định</t>
  </si>
  <si>
    <t>hiện hành khác về kế toán tại Việt Nam yêu cầu Ban giám đốc phải có những ước tính và giả định cho việc ghi nhận giá trị các tài</t>
  </si>
  <si>
    <t>sản, công nợ và việc trình bày các khoản tài sản, công nợ tiềm tàng tại ngày lập báo cáo tài chính hợp nhất cũng như các khoản mục</t>
  </si>
  <si>
    <t>doanh thu và chi phí trong năm.</t>
  </si>
  <si>
    <t>2. Cơ sở lập Báo cáo tài chính hợp nhất:</t>
  </si>
  <si>
    <t>Cơ sở kế toán chung:</t>
  </si>
  <si>
    <t xml:space="preserve">Các báo cáo tài chính hợp nhất, trình bày bằng đồng Việt Nam ( VND). Các báo cáo tài chính được lập trên cơ sở giá gốc. Trong </t>
  </si>
  <si>
    <t>trường hợp cần thiết, báo cáo tài chính hợp nhất được điều chỉnh để các chính sách kế toán được áp dụng tại công ty mẹ và các</t>
  </si>
  <si>
    <t>công ty con là giống nhau.</t>
  </si>
  <si>
    <t>Cơ sở hợp nhất:</t>
  </si>
  <si>
    <t>Công ty con:</t>
  </si>
  <si>
    <t>Công ty con là đơn vị do Công ty mẹ kiểm soát. Sự kiểm soát tồn tại khi công ty mẹ có quyền chi phối các chính sách tài chính và</t>
  </si>
  <si>
    <t>Trả trước cho người bán</t>
  </si>
  <si>
    <t>V.2</t>
  </si>
  <si>
    <t>Hàng tồn kho</t>
  </si>
  <si>
    <t>V.3</t>
  </si>
  <si>
    <t>Chi phí trả trước ngắn hạn</t>
  </si>
  <si>
    <t>Thuế GTGT được khấu trừ</t>
  </si>
  <si>
    <t>V.4</t>
  </si>
  <si>
    <t>B</t>
  </si>
  <si>
    <t>TÀI SẢN DÀI HẠN</t>
  </si>
  <si>
    <t>Các khoản phải thu dài hạn</t>
  </si>
  <si>
    <t>Vốn kinh doanh ở đơn vị trực thuộc</t>
  </si>
  <si>
    <t>V.5</t>
  </si>
  <si>
    <t>Tài sản cố định</t>
  </si>
  <si>
    <t>TSCD hữu hình</t>
  </si>
  <si>
    <t>V.6</t>
  </si>
  <si>
    <t>Nguyên giá</t>
  </si>
  <si>
    <t>TSCD vô hình</t>
  </si>
  <si>
    <t>V.7</t>
  </si>
  <si>
    <t>Ngày 19  tháng 10 năm 2010</t>
  </si>
  <si>
    <t>Ngày 19 tháng 10 năm 2010</t>
  </si>
  <si>
    <t>TP.HCM, Ngày 19 tháng 10 năm 2010</t>
  </si>
  <si>
    <t>Chi phí xây dựng cơ bản dở dang</t>
  </si>
  <si>
    <t>V.8</t>
  </si>
  <si>
    <t>Bất động sản đầu tư</t>
  </si>
  <si>
    <t>Các khoản đầu tư tài chính dài hạn</t>
  </si>
  <si>
    <t>Đầu tư vào công ty con</t>
  </si>
  <si>
    <t>V.9</t>
  </si>
  <si>
    <t>Tài sản dài hạn khác</t>
  </si>
  <si>
    <t>V.10</t>
  </si>
  <si>
    <t>Chi phí trả trước dàn hạn</t>
  </si>
  <si>
    <t>TÀI SẢN</t>
  </si>
  <si>
    <t>NGUỒN VỐN</t>
  </si>
  <si>
    <t>NỢ PHẢI TRẢ</t>
  </si>
  <si>
    <t>Nợ ngắn hạn</t>
  </si>
  <si>
    <t>Vay và nợ ngắn hạn</t>
  </si>
  <si>
    <t>V.11</t>
  </si>
  <si>
    <t>Phải trả cho người bán</t>
  </si>
  <si>
    <t>Người mua trả tiền trước</t>
  </si>
  <si>
    <t>Thuế và các khoản phải nộp nhà nước</t>
  </si>
  <si>
    <t>V.12</t>
  </si>
  <si>
    <t>Phải trả người lao động</t>
  </si>
  <si>
    <t>Chi phí phải trả</t>
  </si>
  <si>
    <t>Các khoản phải trả, phải nộp ngắn hạn khác</t>
  </si>
  <si>
    <t>V.13</t>
  </si>
  <si>
    <t>Nợ dài hạn</t>
  </si>
  <si>
    <t>Dự phòng trợ cấp mất việc làm</t>
  </si>
  <si>
    <t>VỐN CHỦ SỞ HỮU</t>
  </si>
  <si>
    <t>Vốn chủ sở hữu</t>
  </si>
  <si>
    <t>V.14</t>
  </si>
  <si>
    <t>Vốn khác của chủ sở hữu</t>
  </si>
  <si>
    <t>Cổ phiếu quỹ</t>
  </si>
  <si>
    <t>Chênh lệch tỷ giá hối đoái</t>
  </si>
  <si>
    <t>Lợi nhuận chưa phân phối</t>
  </si>
  <si>
    <t>Nguồn kinh phí và quỹ khác</t>
  </si>
  <si>
    <t>Quỹ khen thưởng phúc lợi</t>
  </si>
  <si>
    <t>Mẫu số B 02- DN</t>
  </si>
  <si>
    <t>VI.1</t>
  </si>
  <si>
    <t>VI.2</t>
  </si>
  <si>
    <t>VI.3</t>
  </si>
  <si>
    <t>VI.4</t>
  </si>
  <si>
    <t>VI.5</t>
  </si>
  <si>
    <t>VI.6</t>
  </si>
  <si>
    <t>VI.7</t>
  </si>
  <si>
    <t>Trong đó: Chi phí lãi vay</t>
  </si>
  <si>
    <t>Chi phí thuế TNDN hiện hành</t>
  </si>
  <si>
    <t>VI.8</t>
  </si>
  <si>
    <t>Chi phí thuế TNDN hoãn lại</t>
  </si>
  <si>
    <t>Năm 2009</t>
  </si>
  <si>
    <t>2. Các khoản phải thu ngắn hạn khác</t>
  </si>
  <si>
    <t>theo ước tính của bên cho vay là: 6.736.225.684 d</t>
  </si>
  <si>
    <t>_Nguyên giá TSCD cuối kỳ đã khấu hao hết nhưng vẫn còn sử dụng: 921.490.379 d</t>
  </si>
  <si>
    <t>Vay cá nhân</t>
  </si>
  <si>
    <t>đối với vay bằng USD, lãi suất 3 tháng thay đổi 1 lần, mục đích vay bổ sung vốn lưu động.</t>
  </si>
  <si>
    <t>Vay tín chấp cá nhân, để thanh toán tiền hàng, lãi suất 12-&gt; 15%/ năm. Kỳ hạn vay 3 tháng</t>
  </si>
  <si>
    <t>12. Thuế và các khoản phải nộp nhà nước</t>
  </si>
  <si>
    <t>13. Các khoản phải trả, phải nộp ngắn hạn khác</t>
  </si>
  <si>
    <t>Tổng doanh thu theo bộ phận</t>
  </si>
  <si>
    <t>1. Tổng doanh thu bán hàng và cung cấp dịch vụ</t>
  </si>
  <si>
    <t>2. Các khoản giảm trừ doanh thu</t>
  </si>
  <si>
    <t>Hàng bán bị trả lại</t>
  </si>
  <si>
    <t>3. Doanh thu thuần về bán hàng và cung cấp dịch vụ</t>
  </si>
  <si>
    <t>4. Giá vốn hàng bán</t>
  </si>
  <si>
    <t>5. Doanh thu hoạt động tài chính</t>
  </si>
  <si>
    <t>6. Chi phí tài chính</t>
  </si>
  <si>
    <t>Lãi vay</t>
  </si>
  <si>
    <t>7. Chi phí thuế thu nhập doanh nghiệp hiện hành</t>
  </si>
  <si>
    <t xml:space="preserve">   1.Tổng lợi nhuận kế toán trước thuế</t>
  </si>
  <si>
    <t xml:space="preserve">   2.Các khoản điều chỉnh lợi nhuân kế toán</t>
  </si>
  <si>
    <t xml:space="preserve">Công ty cổ phần chế tạo máy Dzĩ An </t>
  </si>
  <si>
    <t>BẢNG CÂN ĐỐI KẾ TOÁN HỢP NHẤT</t>
  </si>
  <si>
    <t>ĐVT: VND</t>
  </si>
  <si>
    <t>Thuế và các khoản phải thu Nhà nước</t>
  </si>
  <si>
    <t>Tài sản thuế TNDN hoãn lại</t>
  </si>
  <si>
    <t xml:space="preserve">              BÁO CÁO KẾT QUẢ HOẠT ĐỘNG KINH DOANH HỢP NHẤT</t>
  </si>
  <si>
    <t xml:space="preserve">CÔNG TY CỔ PHẦN CHẾ TẠO MÁY DZĨ AN </t>
  </si>
  <si>
    <t>THUYẾT MINH BÁO CÁO TÀI CHÍNH HỢP NHẤT</t>
  </si>
  <si>
    <t xml:space="preserve">hoạt động của một đơn vị để thu lợi ích kinh tế từ các hoạt động này. Các báo cáo tài chính của Công ty con được hợp nhất trong </t>
  </si>
  <si>
    <t>các Báo cáo tài chính hợp nhất từ ngày bắt đầu kiểm soát đến ngày kết thúc kiểm soát.</t>
  </si>
  <si>
    <t>Vay thế chấp, theo hạn mức tín dụng, lãi suất 12% -&gt; 13% / năm đối với vay bằng VND, lãi suất 7%-&gt; 7.2% / năm</t>
  </si>
  <si>
    <t>Năm 2010</t>
  </si>
  <si>
    <t>4. Nguyên tắc ghi nhận hàng tồn kho</t>
  </si>
  <si>
    <t>SỐ 3 ĐƯỜNG SỐ 1 KCN SÓNG THẦN, HUYỆN DĨ AN, BÌNH DƯƠNG</t>
  </si>
  <si>
    <t>MÃ CHỨNG KHOÁN: DZM</t>
  </si>
  <si>
    <t xml:space="preserve">CÔNG TY CỔ PHẦN CHẾ TẠO MÁY DZĨ AN </t>
  </si>
  <si>
    <t>BÁO CÁO TÀI CHÍNH HỢP NHẤT</t>
  </si>
  <si>
    <t>Giám đốc tài chính</t>
  </si>
  <si>
    <t xml:space="preserve">                   Nguyễn Đức Cường</t>
  </si>
  <si>
    <t>Giám Đốc tài chính</t>
  </si>
  <si>
    <t>Văn phòng Công ty CP Chế Tạo Máy Dzĩ An</t>
  </si>
  <si>
    <t>Mẫu B03-DN</t>
  </si>
  <si>
    <t>BÁO CÁO LƯU CHUYỂN TIỀN TỆ HỢP NHẤT</t>
  </si>
  <si>
    <t>Đơn vị tính: VNĐ</t>
  </si>
  <si>
    <t>TM</t>
  </si>
  <si>
    <t>I. LƯU CHUYỂN TIỀN TỪ HOẠT ĐỘNG SẢN XUẤT, KINH DOANH</t>
  </si>
  <si>
    <t>Lợi nhuận trước thuế</t>
  </si>
  <si>
    <t>Điều chỉnh cho các khoản :</t>
  </si>
  <si>
    <t>-  Khấu hao tài sản cố định</t>
  </si>
  <si>
    <t xml:space="preserve">-  Các khoản dự phòng </t>
  </si>
  <si>
    <t>-  Lãi, lỗ chênh lệch tỷ giá hối đoái chưa thực hiện</t>
  </si>
  <si>
    <t>-  Lãi, lỗ từ hoạt động đầu tư</t>
  </si>
  <si>
    <t>-  Chi phí lãi vay</t>
  </si>
  <si>
    <t>Lợi nhuận từ hoạt động kinh doanh trước thay đổi vốn lưu động</t>
  </si>
  <si>
    <t>-  Tăng (-), giảm (+) các khoản phải thu</t>
  </si>
  <si>
    <t>-  Tăng (-), giảm (+) hàng tồn kho</t>
  </si>
  <si>
    <t>-  Tăng (+), giảm (-) các khoản phải trả (không kể lãi vay phải trả, thuế thu nhập phải nộp)</t>
  </si>
  <si>
    <t>-  Tăng (-), giảm (+) chi phí trả trước</t>
  </si>
  <si>
    <t>-  Tiền lãi vay đã trả</t>
  </si>
  <si>
    <t>-  Thuế thu nhập doanh nghiệp đã nộp</t>
  </si>
  <si>
    <t>-  Tiền thu khác từ hoạt động kinh doanh</t>
  </si>
  <si>
    <t>Công ty TNHH Nhà Máy Điện Sinh Khối Tonle Bet</t>
  </si>
  <si>
    <t>-  Tiền chi khác từ hoạt động kinh doanh</t>
  </si>
  <si>
    <t>Lưu chuyển tiền thuần từ hoạt động SXKD</t>
  </si>
  <si>
    <t xml:space="preserve">II. LƯU CHUYỂN TIỀN TỪ HOẠT ĐỘNG ĐẦU TƯ </t>
  </si>
  <si>
    <t>Tiền chi để mua sắm, xây dựng TSCĐ và các TSCĐ khác</t>
  </si>
  <si>
    <t>Tiền thu từ thanh lý, nhượng bán TSCĐ và các TSDH khác</t>
  </si>
  <si>
    <t>Tiền chi cho vay, mua bán công cụ nợ của đơn vị khác</t>
  </si>
  <si>
    <t>Tiền thu hồi cho vay, bán lại các công cụ nợ của đơn vị khác</t>
  </si>
  <si>
    <t>Tiền chi góp vốn đầu tư vào đơn vị khác</t>
  </si>
  <si>
    <t>Tiền thu hồi vốn đầu tư vào đơn vị khác</t>
  </si>
  <si>
    <t>Tiền thu từ lãi cho vay, cổ tức lợi nhuận được chia</t>
  </si>
  <si>
    <t xml:space="preserve">Lưu chuyển tiền từ hoạt động đầu tư </t>
  </si>
  <si>
    <t xml:space="preserve">III. LƯU CHUYỂN TIỀN TỪ HOẠT ĐỘNG TÀI CHÍNH </t>
  </si>
  <si>
    <t>Tiền thu từ phát hành cổ phiếu, nhận vốn góp của CSH</t>
  </si>
  <si>
    <t>Tiền chi trả vốn góp cho các chủ sở hữu, mua lại cổ phiếu của doanh nghiệp đã phát hành</t>
  </si>
  <si>
    <t>Tiền vay ngắn hạn, dài hạn nhận được</t>
  </si>
  <si>
    <t>TEST 33+334</t>
  </si>
  <si>
    <t>Tiền chi trả nợ gốc vay</t>
  </si>
  <si>
    <t>Tiền chi trả nợ thuê tài chính</t>
  </si>
  <si>
    <t>Cổ tức, lợi nhuận đã trả cho chủ sở hữu</t>
  </si>
  <si>
    <t>Lưu chuyển tiền thuần trong kỳ</t>
  </si>
  <si>
    <t>Tiền tồn đầu kỳ</t>
  </si>
  <si>
    <t>Ảnh hưởng của chênh lệch tỷ giá hối đoái quy đổi ngoại tệ</t>
  </si>
  <si>
    <t>Tiền tồn cuối kỳ</t>
  </si>
  <si>
    <t>Kế Toán Trưởng</t>
  </si>
  <si>
    <t xml:space="preserve">VII.2. BÁO CÁO BỘ PHẬN - CÂN ĐỐI KẾ TOÁN </t>
  </si>
  <si>
    <t>Tại Cambodia</t>
  </si>
  <si>
    <t>Tại Việt Nam</t>
  </si>
  <si>
    <t>Loại trừ</t>
  </si>
  <si>
    <t>Tổng cộng</t>
  </si>
  <si>
    <t>Chi nhánh công ty Cổ Phần
 Chế tạo Máy Dzĩ An</t>
  </si>
  <si>
    <t>Công ty TNHH MTV 
Trấu Mê Kong</t>
  </si>
  <si>
    <t>TÀI SẢN</t>
  </si>
  <si>
    <t>A. TÀI SẢN NGẮN HẠN</t>
  </si>
  <si>
    <t>I. Tiền</t>
  </si>
  <si>
    <t>III. Các khoản phải thu ngắn hạn</t>
  </si>
  <si>
    <t>IV. Hàng tồn kho</t>
  </si>
  <si>
    <t>V. Tài sản ngắn hạn khác</t>
  </si>
  <si>
    <t>B. TÀI SẢN DÀI HẠN</t>
  </si>
  <si>
    <t xml:space="preserve">I. Các khoản phải thu dài hạn </t>
  </si>
  <si>
    <t xml:space="preserve">II. TSCĐ hữu hình </t>
  </si>
  <si>
    <t xml:space="preserve">III. TSCĐ vô hình </t>
  </si>
  <si>
    <t xml:space="preserve">IV. Chi phí xây dựng cơ bản dở dang </t>
  </si>
  <si>
    <t xml:space="preserve">VI. Tài sản dài hạn khác </t>
  </si>
  <si>
    <t>TỔNG CỘNG TÀI SẢN</t>
  </si>
  <si>
    <t xml:space="preserve">NGUỒN VỐN </t>
  </si>
  <si>
    <t xml:space="preserve">A. NỢ PHẢI TRẢ </t>
  </si>
  <si>
    <t xml:space="preserve">I. Nợ ngắn hạn </t>
  </si>
  <si>
    <t xml:space="preserve">II. Nợ dài hạn </t>
  </si>
  <si>
    <t xml:space="preserve">B. VỐN CHỦ SỞ HỮU </t>
  </si>
  <si>
    <t xml:space="preserve">I. Vốn Chủ Sở Hữu </t>
  </si>
  <si>
    <t>II. Nguồn kinh phí và quỹ khác</t>
  </si>
  <si>
    <t xml:space="preserve">TỔNG CỘNG NGUỒN VỐN </t>
  </si>
  <si>
    <t>VII.2. BÁO CÁO BỘ PHẬN - KẾT QUẢ HOẠT ĐỘNG KINH DOANH ( tiếp theo)</t>
  </si>
  <si>
    <t>Chi nhánh công ty Cổ Phần Chế tạo Máy Dzĩ An</t>
  </si>
  <si>
    <t>Tổng doanh thu từ các giao dịch bên ngoài</t>
  </si>
  <si>
    <t>Tổng doanh thu từ giao dịch giữa các bộ phận</t>
  </si>
  <si>
    <t>Tổng chi phí theo bộ phận</t>
  </si>
  <si>
    <t>Lợi nhuận từ hoạt động kinh doanh</t>
  </si>
  <si>
    <t>Lợi nhuận tài chính</t>
  </si>
  <si>
    <t>Lợi nhuận từ hoạt động khác</t>
  </si>
  <si>
    <t>Tổng lợi nhuận trước thuế ( 5+6+7)</t>
  </si>
  <si>
    <t>Doanh thu chưa thực hiện</t>
  </si>
  <si>
    <t>Các khoản phải thu khác</t>
  </si>
  <si>
    <t>Công ty mẹ tại Việt Nam</t>
  </si>
  <si>
    <t>Hàng hóa</t>
  </si>
  <si>
    <t>6. Tình hình tăng, giảm tài sản cố định vô hình</t>
  </si>
  <si>
    <t>Tên công ty con</t>
  </si>
  <si>
    <t>Địa điểm</t>
  </si>
  <si>
    <t>Tỷ lệ phần sở hữu</t>
  </si>
  <si>
    <t>Cambodia</t>
  </si>
  <si>
    <t>Chi nhánh và Công ty con tại Cambodia</t>
  </si>
  <si>
    <t xml:space="preserve">   4. Chi phí thuế thu nhập doanh nghiệp hiện hành</t>
  </si>
  <si>
    <t>Số 3 đường số 1 KCN Sóng Thần, Bình Dương</t>
  </si>
  <si>
    <t>Chỉ tiêu</t>
  </si>
  <si>
    <t>DVT: Đồng</t>
  </si>
  <si>
    <t>Stt</t>
  </si>
  <si>
    <t>Nội dung</t>
  </si>
  <si>
    <t>I</t>
  </si>
  <si>
    <t>II</t>
  </si>
  <si>
    <t>III</t>
  </si>
  <si>
    <t>TỔNG CỘNG TÀI SẢN</t>
  </si>
  <si>
    <t>IV</t>
  </si>
  <si>
    <t>V</t>
  </si>
  <si>
    <t>TỔNG CỘNG NGUỒN VỐN</t>
  </si>
  <si>
    <t>Dương Thị Phương Thảo                                 Bùi Thị Phước Hạnh</t>
  </si>
  <si>
    <t>Doanh thu bán hàng và cung cấp dịch vụ</t>
  </si>
  <si>
    <t>Các khoản giảm trừ doanh thu</t>
  </si>
  <si>
    <t xml:space="preserve">Doanh thu thuần về bán hàng và cung cấp dịch vụ </t>
  </si>
  <si>
    <t>Giá vốn hàng bán</t>
  </si>
  <si>
    <t>Lợi nhuận gộp bán hàng và cung cấp dịch vụ</t>
  </si>
  <si>
    <t>Doanh thu hoạt động tài chính</t>
  </si>
  <si>
    <t>Chi phí tài chính</t>
  </si>
  <si>
    <t>Chi phí bán hàng</t>
  </si>
  <si>
    <t>Chi phí quản lý doanh nghiệp</t>
  </si>
  <si>
    <t>Lợi nhuận thuần từ hoạt động kinh doanh</t>
  </si>
  <si>
    <t>Thu nhập khác</t>
  </si>
  <si>
    <t>Chi phí khác</t>
  </si>
  <si>
    <t xml:space="preserve">Lợi nhuận khác </t>
  </si>
  <si>
    <t xml:space="preserve">Tổng lợi nhuận kế toán trước thuế </t>
  </si>
  <si>
    <t xml:space="preserve">Lợi nhuận sau thuế thu nhập doanh nghiệp </t>
  </si>
  <si>
    <t>Lãi cơ bản trên cổ phiếu</t>
  </si>
  <si>
    <t>CÔNG TY CỔ PHẦN CHẾ TẠO MÁY DZĨ AN</t>
  </si>
  <si>
    <t>Mẫu số B 09-DN</t>
  </si>
  <si>
    <t>1. Hình thức sở hữu vốn: Cổ phần</t>
  </si>
  <si>
    <t>3. Ngành nghề kinh doanh:</t>
  </si>
  <si>
    <t>1. Niên độ kế toán</t>
  </si>
  <si>
    <t>Niên độ kế toán của Công ty bắt đầu từ ngày 01 tháng 01 và kết thúc ngày 31 tháng 12 hàng năm.</t>
  </si>
  <si>
    <t>1. Chế độ kế toán áp dụng</t>
  </si>
  <si>
    <t>tắc trọng yếu quy định tại Chuẩn mực số 21 - Trình bày Báo cáo tài chính.</t>
  </si>
  <si>
    <t>phát sinh nghiệp vụ.</t>
  </si>
  <si>
    <t>_Phương pháp hạch toán hàng tồn kho: Kê khai thường xuyên.</t>
  </si>
  <si>
    <t>điểm đưa tài sản đó vào trạng thái sẵn sàng sử dụng.</t>
  </si>
  <si>
    <t>Doanh thu bán hàng</t>
  </si>
  <si>
    <t>Tiền mặt</t>
  </si>
  <si>
    <t>Tiền gửi ngân hàng</t>
  </si>
  <si>
    <t>Cộng</t>
  </si>
  <si>
    <t>Phải thu khác</t>
  </si>
  <si>
    <t>Tài sản ngắn hạn khác</t>
  </si>
  <si>
    <t>Nguyên liệu, vật liệu</t>
  </si>
  <si>
    <t>Công cụ dụng cụ</t>
  </si>
  <si>
    <t>Chi phí sản xuất kinh doanh dỡ dang</t>
  </si>
  <si>
    <t>Thành phẩm</t>
  </si>
  <si>
    <t>Hàng gửi đi bán</t>
  </si>
  <si>
    <t>Cộng giá gốc hàng tồn kho</t>
  </si>
  <si>
    <t>Khoản mục</t>
  </si>
  <si>
    <t>Nhà cửa vật kiến trúc</t>
  </si>
  <si>
    <t>Máy móc thiết bị</t>
  </si>
  <si>
    <t>Phương tiện vận tải</t>
  </si>
  <si>
    <t>Dụng cụ quản lý</t>
  </si>
  <si>
    <t>Tổng cộng</t>
  </si>
  <si>
    <t>_Thanh lý, nhượng bán</t>
  </si>
  <si>
    <t>Số dư cuối kỳ</t>
  </si>
  <si>
    <t>Giá trị hao mòn lũy kế</t>
  </si>
  <si>
    <t>Tại ngày cuối kỳ</t>
  </si>
  <si>
    <t>_Tổng giá trị TSCD dùng để thế chấp, cầm cố cho khoản vay của Chi nhánh Ngân hàng Công Thương, KCN Bình Dương</t>
  </si>
  <si>
    <t>Quyền sử dụng đất</t>
  </si>
  <si>
    <t>Chi nhánh ngân hàng Công Thương, KCN Bình Dương</t>
  </si>
  <si>
    <t>NH TMCP Xuất nhập khẩu VN, CN Thủ Đức</t>
  </si>
  <si>
    <t>Thuế thu nhập cá nhân</t>
  </si>
  <si>
    <t>Các khoản phải trả, phải nộp khác</t>
  </si>
  <si>
    <t>b. Chi tiết vốn đầu tư của chủ sở hữu</t>
  </si>
  <si>
    <t>Số lượng cổ phiếu quỹ</t>
  </si>
  <si>
    <t>c. Các giao dịch về vốn với các chủ sở</t>
  </si>
  <si>
    <t>hữu và phân phối cổ tức, lợi nhuận</t>
  </si>
  <si>
    <t>Vốn đầu tư của chủ sở hữu</t>
  </si>
  <si>
    <t>Cổ tức lợi nhuận đã chia</t>
  </si>
  <si>
    <t>d. Cổ tức</t>
  </si>
  <si>
    <t>Cổ tức đã công bố trên cổ phiếu phổ thông</t>
  </si>
  <si>
    <t>e. Cổ phiếu</t>
  </si>
  <si>
    <t>Số lượng cổ phiếu đã được phép phát hành</t>
  </si>
  <si>
    <t>Cổ phiếu phổ thông</t>
  </si>
  <si>
    <t>Số lượng cổ phiếu được mua lại</t>
  </si>
  <si>
    <t>Số lượng cổ phiếu đang lưu hành</t>
  </si>
  <si>
    <t>Mệnh giá cổ phiếu</t>
  </si>
  <si>
    <t>Tổng doanh thu</t>
  </si>
  <si>
    <t>Doanh thu thuần trao đổi sản phẩm, hàng hóa</t>
  </si>
  <si>
    <t>Lỗ chệnh lệch tỷ giá đã thực hiện</t>
  </si>
  <si>
    <t>Chi phí nguyên liệu, vật liệu</t>
  </si>
  <si>
    <t>Chi phí nhân công</t>
  </si>
  <si>
    <t>Chi phí khấu hao TSCD</t>
  </si>
  <si>
    <t>Chi phí dịch vụ mua ngoài</t>
  </si>
  <si>
    <t>Chi phí khác bằng tiền</t>
  </si>
  <si>
    <t>Lợi nhuận kế toán sau thuế TNDN</t>
  </si>
  <si>
    <t>Lãi cơ bản trên cổ phiếu</t>
  </si>
  <si>
    <t>Kế toán trưởng</t>
  </si>
  <si>
    <t>Đơn vị tính: VND</t>
  </si>
  <si>
    <t>a. Bảng đối chiếu biến động Vốn chủ sở hữu</t>
  </si>
  <si>
    <t>Thặng dư vốn cổ phần</t>
  </si>
  <si>
    <t>Quỹ đầu tư phát triển</t>
  </si>
  <si>
    <t>Quỹ dự phòng tài chính</t>
  </si>
  <si>
    <t>Lợi nhuận sau thuế chưa phân phối</t>
  </si>
  <si>
    <t>Mã số</t>
  </si>
  <si>
    <t>Lưu chuyển tiền thuần từ hoạt động tài chính</t>
  </si>
  <si>
    <t>Nguyễn Đức Cường</t>
  </si>
  <si>
    <t>Lương theo Doanh thu</t>
  </si>
  <si>
    <t>Bùi Thị Phước Hạnh</t>
  </si>
  <si>
    <t xml:space="preserve">     Người lập biểu                                            Kế toán trưởng</t>
  </si>
  <si>
    <t>3. Báo cáo Bộ phận theo khu vực địa lý:</t>
  </si>
  <si>
    <t>Các bộ phận của công ty chia theo hai khu vực địa lý dưới sự quản lý của Công ty cổ phần chế tạo máy Dzĩ An như sau:</t>
  </si>
  <si>
    <t>Tại Việt Nam</t>
  </si>
  <si>
    <t>Công ty cổ phần chế tạo máy Dzĩ An</t>
  </si>
  <si>
    <t>Công ty TNHH MTV trấu Mê Kông</t>
  </si>
  <si>
    <t>Tại Cambodia</t>
  </si>
  <si>
    <t>Chi nhánh Công ty cổ phần chế tạo máy Dzĩ An</t>
  </si>
  <si>
    <t>Công ty TNHH Nha máy điện sinh khối Tonle Bet</t>
  </si>
  <si>
    <t>Báo cáo bộ phận được trình bày chi tiết ( xem trang kèm theo)</t>
  </si>
  <si>
    <t>Vốn góp</t>
  </si>
  <si>
    <t>Số dư đầu năm trước</t>
  </si>
  <si>
    <t>Lợi nhuận sau thuế năm 2009</t>
  </si>
  <si>
    <t>Phân phối quỹ torng năm 2009</t>
  </si>
  <si>
    <t>Trích lập Quỹ khen thưởng và Phúc Lợi</t>
  </si>
  <si>
    <t>Trích thưởng Ban điều hành</t>
  </si>
  <si>
    <t>Trích quỹ trợ cấp thôi việc</t>
  </si>
  <si>
    <t>Đánh giá chênh lệch tỷ giá cuối kỳ</t>
  </si>
  <si>
    <t>Truy thu thuế và tiền phạt theo quyết</t>
  </si>
  <si>
    <t>toán thuế năm 2007 và 2008</t>
  </si>
  <si>
    <t>Số cuối năm trước</t>
  </si>
  <si>
    <t>Số dư đầu năm nay</t>
  </si>
  <si>
    <t>Tăng vốn</t>
  </si>
  <si>
    <t>Thặng dư</t>
  </si>
  <si>
    <t>Bán cổ phiếu</t>
  </si>
  <si>
    <t>Lợi nhuận sau thuế kỳ này</t>
  </si>
  <si>
    <t>Hoàn nhập</t>
  </si>
  <si>
    <t>Số dư cuối kỳ này</t>
  </si>
  <si>
    <t>Thanh toán cổ tức đợt 2/2008 và tạm ứng đợt 1/2009</t>
  </si>
  <si>
    <t>QUÝ 3 NĂM 2010</t>
  </si>
  <si>
    <t>Từ 01/01/2009 đến 30/09/2009</t>
  </si>
  <si>
    <t>Các giao dịch loại trừ khi hợp nhất:</t>
  </si>
  <si>
    <t>Các số dư nội bộ về công nợ phải thu, phải trả nội bộ; toàn bộ thu nhập, chi phí và các khoản lãi, lỗ chưa thực hiện phát sinh từ các</t>
  </si>
  <si>
    <t>giao dịch nội bộ được loại ra khi lập Báo cáo tài chính hợp nhất.</t>
  </si>
  <si>
    <t>Lợi ích cổ đông thiểu số trong tài sản thuần của công ty con hợp nhất được xác định là một chỉ tiêu riêng biệt tách khỏi phần vốn</t>
  </si>
  <si>
    <t>chủ sở hữu của cổ đông công ty.</t>
  </si>
  <si>
    <t>Phương pháp chuyển đổi các báo cáo tài chính của các đơn vị hoạt động tại nước ngoài khi hợp nhất Báo cáo tài chính:</t>
  </si>
  <si>
    <t xml:space="preserve">Thực hiện theo Chuẩn mực kế toán số 10" Ảnh hưởng của việc thay đổi tỷ giá hối đoái" theo quyết định 165/QD-BTC ngày </t>
  </si>
  <si>
    <t>31/12/2002.</t>
  </si>
  <si>
    <t xml:space="preserve">Để phục vụ mục đích hợp nhất báo cáo tài chính, tài sản và công nợ liên quan đến hoạt động của Công ty tại nước ngoài được </t>
  </si>
  <si>
    <t>chuyển đổi sang đơn vị tiền tệ của báo cáo theo tỷ giá tại ngày kết thúc kỳ kế toán. Các khoản thu nhập và chi phí được chuyển</t>
  </si>
  <si>
    <t>đổi theo tỷ giá bình quân trong kỳ báo cáo trừ khi tỷ giá có biến động lớn trong năm, trong trường hợp đó sẽ áp dụng tỷ giá tại ngày</t>
  </si>
  <si>
    <t>Tất cả các khoản chênh lệch tỷ giá hối đoái khi chuyển đổi Báo cáo tài chính của công ty con tại nước ngoài để hợp nhất báo cáo</t>
  </si>
  <si>
    <t>tài chính được phân loại như là vốn chủ sở hữu của công ty cho đến khi thanh lý khoản đầu tư thuần đó sẽ được ghi nhận vào kết</t>
  </si>
  <si>
    <t>quả hoạt động kinh doanh của kỳ chấm dứt hoạt động tại nước ngoài.</t>
  </si>
  <si>
    <t>3. Nguyên tắc ghi nhận các khoản tiền và Tương đương tiền</t>
  </si>
  <si>
    <t>5. Nguyên tắc ghi nhận và khấu hao Tài sản cố định (TSCD)</t>
  </si>
  <si>
    <t>_Nguyên tắc ghi nhận TSCD hữu hình, vô hình</t>
  </si>
  <si>
    <t>6. Nguyên tắc ghi nhận các khoản đầu tư tài chính</t>
  </si>
  <si>
    <t>7. Nguyên tắc ghi nhận và vốn hóa các khoản chi phí đi vay</t>
  </si>
  <si>
    <t>8. Nguyên tắc ghi nhận và vốn hóa các khoản chi phí khác.</t>
  </si>
  <si>
    <t>9.Nguyên tắc và phương pháp ghi nhận chi phí phải trả</t>
  </si>
  <si>
    <t>10. Nguyên tắc ghi nhận vốn chủ sở hữu</t>
  </si>
  <si>
    <t>11. Nguyên tắc và phương pháp ghi nhận Doanh thu</t>
  </si>
  <si>
    <t>12. Nguyên tắc và phương pháp ghi nhận chi phí tài chính</t>
  </si>
  <si>
    <t>13. Nguyên tắc và phương pháp ghi nhận chi phí thuế TNDN hiện hành và chi phí thuế TNDN hoãn lại.</t>
  </si>
  <si>
    <t>Việc xác định số thuế thu nhập doanh nghiệp hiện hành khi hợp nhất căn cứ vào các quy định hiện hành về thuế và được cộng gộp</t>
  </si>
  <si>
    <t>sau khi xác định thuế thu nhập doanh nghiệp tại các công ty con. Việc xác định số thuế sau cùng về thuế thu nhập doanh nghiệp tùy</t>
  </si>
  <si>
    <t>thuộc vào kết quả kiểm tra của cơ quan thuế đối với công ty mẹ và từng công ty con.</t>
  </si>
  <si>
    <t>Chính sách thuế công ty mẹ và công ty con tại Việt Nam được điều chỉnh theo Luật thuế thu nhập doanh nghiệp Việt Nam.</t>
  </si>
  <si>
    <t>Chính sách thuế Chi nhánh và công ty con tại Cambodia được chỉnh theo Luật thuế thu nhập doanh nghiệp của Cambodia.</t>
  </si>
  <si>
    <t>14. Các nghiệp vụ dự phòng rủi ro hối đoái</t>
  </si>
  <si>
    <t>15. Các nguyên tắc và phương pháp kế toán khác.</t>
  </si>
  <si>
    <t>_Nguyên tắc trình bày tài sản, doanh thu, kết quả kinh doanh theo bộ phận.</t>
  </si>
  <si>
    <t xml:space="preserve">Báo cáo bộ phận theo khu vực địa lý: một bộ phận được báo cáo có thể phân biệt được của một doanh nghiệp tham gia vào quá </t>
  </si>
  <si>
    <t>trình sản xuất hoặc cung cấp sản phẩm, dịch vụ trong phạm vi một môi trường kinh tế cụ thể mà bộ phận này có chịu rủi ro và lợi</t>
  </si>
  <si>
    <t>ích kinh tế khác với các bộ phận kinh doanh trong các môi trường kinh tế khác nhau. Một khu vực địa lý không bao gồm các hoạt</t>
  </si>
  <si>
    <t xml:space="preserve">động trong môi trường kinh tế có rủi ro và lợi ích kinh tế khác biệt đáng kể. Một khu vực địa lý có thể là một quốc gia, hai hay </t>
  </si>
  <si>
    <t>nhiều quốc gia hoặc một, hai hay nhiều tỉnh, thành phố trong cả nước.</t>
  </si>
  <si>
    <t>V. THÔNG TIN BỔ SUNG CHO CÁC KHOẢN MỤC TRÌNH BÀY TRONG BẢNG CÂN ĐỐI KẾ TOÁN</t>
  </si>
  <si>
    <t>+Văn phòng tại Việt Nam</t>
  </si>
  <si>
    <t>+Công ty con tại Việt Nam</t>
  </si>
  <si>
    <t>+Chi nhánh và Công ty con tại Cambodia</t>
  </si>
  <si>
    <t>5. Tài sản cố định hữu hình</t>
  </si>
  <si>
    <t>_Giảm khác</t>
  </si>
  <si>
    <t>_Tăng khác</t>
  </si>
  <si>
    <t>_Giám khác</t>
  </si>
  <si>
    <t>P. mềm kế toán</t>
  </si>
  <si>
    <t>7. Chi phí xây dựng cơ bản dở dang</t>
  </si>
  <si>
    <t>Chi phí xây dựng dở dang nhà máy điện sinh khối Tonle Bet</t>
  </si>
  <si>
    <t>8. Các khoản đầu tư tài chính dàn hạn</t>
  </si>
  <si>
    <t>Đầu tư vào Công ty con</t>
  </si>
  <si>
    <t>Tỷ lệ biểu quyết</t>
  </si>
  <si>
    <t>Công ty TNHH Nhà máy điện sinh khối Tonle Bet</t>
  </si>
  <si>
    <t>HCM Việt Nam</t>
  </si>
  <si>
    <t>Công ty TNHH MTV Trấu Mê Kông</t>
  </si>
  <si>
    <t xml:space="preserve">9. Chi phí trả trước dài hạn </t>
  </si>
  <si>
    <t>Công cụ - dụng cụ văn phòng</t>
  </si>
  <si>
    <t>Chi phí trả trước hoạt động tại Cambodia</t>
  </si>
  <si>
    <t>10. Tài sản thuế thu nhập doanh nghiệp hoãn lại</t>
  </si>
  <si>
    <t>Tài sản thuế thu nhập doanh nghiệp hoãn lại liên quan</t>
  </si>
  <si>
    <t>đến khoản chênh lệch tạm thời được khấu trừ</t>
  </si>
  <si>
    <t>Ngân hàng Đầu tư và PT VN tại Cambodia</t>
  </si>
  <si>
    <t>Bảo hiểm xã hội bảo hiểm y tế</t>
  </si>
  <si>
    <t>Khác của văn phòng</t>
  </si>
  <si>
    <t>Khác của Cambodia</t>
  </si>
  <si>
    <t>Tại ngày đầu kỳ</t>
  </si>
  <si>
    <t>Vốn góp giảm trong kỳ</t>
  </si>
  <si>
    <t>Mẫu số B 01-DN</t>
  </si>
  <si>
    <t>A</t>
  </si>
  <si>
    <t>TÀI SẢN NGẮN HẠN</t>
  </si>
  <si>
    <t>Tại ngày 01.01.2010</t>
  </si>
  <si>
    <t>Tiền</t>
  </si>
  <si>
    <t>Các khoản đầu tư tài chính ngắn hạn</t>
  </si>
  <si>
    <t>Mã số</t>
  </si>
  <si>
    <t>Thuyết minh</t>
  </si>
  <si>
    <t>V.1</t>
  </si>
  <si>
    <t>Các khoản phải thu ngắn hạn</t>
  </si>
  <si>
    <t>Phải thu khách hàng</t>
  </si>
  <si>
    <t>Quý 3 năm 2010</t>
  </si>
  <si>
    <t xml:space="preserve">                                                                         Tại ngày 30 tháng 09 năm 2010</t>
  </si>
  <si>
    <t>Tại ngày 30.09.2010</t>
  </si>
  <si>
    <t>Quý 3.2010</t>
  </si>
  <si>
    <t>Số 3 đường số 1 KCN Sóng Thần, Dĩ An, Bình Dương</t>
  </si>
  <si>
    <t>Quý 3</t>
  </si>
  <si>
    <t>Lũy kế từ đầu năm đến cuối quý 3</t>
  </si>
  <si>
    <t xml:space="preserve">        Lập biểu                                                                                                              Kế toán trưởng</t>
  </si>
  <si>
    <t xml:space="preserve">           Giám đốc Tài chính</t>
  </si>
  <si>
    <t>Dương Thị Phương Thảo                                                                                            Bùi Thị Phước Hạnh</t>
  </si>
  <si>
    <t xml:space="preserve">Công ty Cổ phần Chế Tạo Máy Dzĩ An </t>
  </si>
  <si>
    <t>I. ĐẶC ĐIỂM HOẠT ĐỘNG CỦA DOANH NGHIỆP</t>
  </si>
  <si>
    <t>_Công ty cổ phần chế tạo máy Dzĩ An được thành lập theo Giấy chứng nhận đăng ký kinh doanh Công ty cổ phần số 4603000016</t>
  </si>
  <si>
    <t xml:space="preserve">ngày 19 tháng 01 năm 2001. Đăng ký lại theo giấy Chứng nhận doanh nghiệp công ty cổ phần số 3700363445 được thay đổi lần thứ </t>
  </si>
  <si>
    <t>7 ngày 24/06/2010.</t>
  </si>
  <si>
    <t>2. Lĩnh vực kinh doanh: Sản xuất và Kinh doanh</t>
  </si>
  <si>
    <t>Ngày 11/06/2009, Công ty chính thức niêm yết trên sàn giao dịch chứng khoán Hà Nội.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</si>
</sst>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numFmt numFmtId="165" formatCode="_(* #,##0_);_(* \(#,##0\);_(* &quot;-&quot;??_);_(@_)"/>
    <numFmt numFmtId="166" formatCode="_(* #,##0.0_);_(* \(#,##0.0\);_(* &quot;-&quot;??_);_(@_)"/>
    <numFmt numFmtId="167" formatCode="0.00000"/>
    <numFmt numFmtId="168" formatCode="_(* #,##0.000_);_(* \(#,##0.000\);_(* &quot;-&quot;??_);_(@_)"/>
    <numFmt numFmtId="169" formatCode="_(* #,##0.0000_);_(* \(#,##0.0000\);_(* &quot;-&quot;??_);_(@_)"/>
    <numFmt numFmtId="170" formatCode="_(* #,##0.0_);_(* \(#,##0.0\);_(* &quot;-&quot;?_);_(@_)"/>
  </numFmts>
  <fonts count="77">
    <font>
      <sz val="10"/>
      <name val="VNI-Times"/>
      <family val="0"/>
    </font>
    <font>
      <sz val="8"/>
      <name val="VNI-Times"/>
      <family val="0"/>
    </font>
    <font>
      <b/>
      <sz val="11"/>
      <name val="Times New Roman"/>
      <family val="1"/>
    </font>
    <font>
      <sz val="11"/>
      <name val="Times New Roman"/>
      <family val="1"/>
    </font>
    <font>
      <b/>
      <sz val="11"/>
      <name val="VN-NTime"/>
      <family val="0"/>
    </font>
    <font>
      <b/>
      <sz val="11"/>
      <name val="VNI-Times"/>
      <family val="0"/>
    </font>
    <font>
      <sz val="11"/>
      <name val="VNI-Times"/>
      <family val="0"/>
    </font>
    <font>
      <b/>
      <i/>
      <sz val="11"/>
      <name val="VNI-Times"/>
      <family val="0"/>
    </font>
    <font>
      <b/>
      <i/>
      <sz val="11"/>
      <name val="Times New Roman"/>
      <family val="1"/>
    </font>
    <font>
      <i/>
      <sz val="11"/>
      <name val="Times New Roman"/>
      <family val="1"/>
    </font>
    <font>
      <sz val="11"/>
      <color indexed="10"/>
      <name val="Times New Roman"/>
      <family val="1"/>
    </font>
    <font>
      <b/>
      <sz val="10"/>
      <name val="VNI-Times"/>
      <family val="0"/>
    </font>
    <font>
      <i/>
      <sz val="11"/>
      <name val="VNI-Times"/>
      <family val="0"/>
    </font>
    <font>
      <b/>
      <sz val="11"/>
      <color indexed="10"/>
      <name val="Times New Roman"/>
      <family val="1"/>
    </font>
    <font>
      <sz val="10"/>
      <name val="MS Sans Serif"/>
      <family val="0"/>
    </font>
    <font>
      <sz val="10"/>
      <name val="Arial"/>
      <family val="0"/>
    </font>
    <font>
      <b/>
      <sz val="11"/>
      <color indexed="8"/>
      <name val="Times New Roman"/>
      <family val="1"/>
    </font>
    <font>
      <i/>
      <sz val="11"/>
      <color indexed="8"/>
      <name val="Times New Roman"/>
      <family val="1"/>
    </font>
    <font>
      <sz val="11"/>
      <color indexed="8"/>
      <name val="Times New Roman"/>
      <family val="1"/>
    </font>
    <font>
      <sz val="10"/>
      <name val="Times New Roman"/>
      <family val="1"/>
    </font>
    <font>
      <b/>
      <sz val="10"/>
      <name val="Times New Roman"/>
      <family val="1"/>
    </font>
    <font>
      <b/>
      <sz val="14"/>
      <name val="Times New Roman"/>
      <family val="1"/>
    </font>
    <font>
      <sz val="10"/>
      <color indexed="10"/>
      <name val="Times New Roman"/>
      <family val="1"/>
    </font>
    <font>
      <i/>
      <sz val="10"/>
      <name val="Times New Roman"/>
      <family val="1"/>
    </font>
    <font>
      <b/>
      <sz val="10"/>
      <color indexed="9"/>
      <name val="Times New Roman"/>
      <family val="1"/>
    </font>
    <font>
      <sz val="10"/>
      <color indexed="9"/>
      <name val="Times New Roman"/>
      <family val="1"/>
    </font>
    <font>
      <sz val="10"/>
      <color indexed="9"/>
      <name val="VNI-Times"/>
      <family val="0"/>
    </font>
    <font>
      <i/>
      <sz val="9"/>
      <name val="Times New Roman"/>
      <family val="1"/>
    </font>
    <font>
      <i/>
      <sz val="10"/>
      <name val="VNI-Times"/>
      <family val="0"/>
    </font>
    <font>
      <sz val="9"/>
      <name val="Times New Roman"/>
      <family val="1"/>
    </font>
    <font>
      <b/>
      <sz val="9"/>
      <name val="Times New Roman"/>
      <family val="1"/>
    </font>
    <font>
      <i/>
      <sz val="10"/>
      <color indexed="8"/>
      <name val="Times New Roman"/>
      <family val="1"/>
    </font>
    <font>
      <b/>
      <sz val="10"/>
      <color indexed="10"/>
      <name val="Times New Roman"/>
      <family val="1"/>
    </font>
    <font>
      <b/>
      <sz val="12"/>
      <name val="Times New Roman"/>
      <family val="1"/>
    </font>
    <font>
      <sz val="24"/>
      <name val="VNI-Helve-Condense"/>
      <family val="0"/>
    </font>
    <font>
      <sz val="12"/>
      <name val="Times New Roman"/>
      <family val="1"/>
    </font>
    <font>
      <sz val="24"/>
      <name val="Arial"/>
      <family val="2"/>
    </font>
    <font>
      <sz val="24"/>
      <name val="Times New Roman"/>
      <family val="1"/>
    </font>
    <font>
      <b/>
      <sz val="16"/>
      <name val="Times New Roman"/>
      <family val="1"/>
    </font>
    <font>
      <sz val="24"/>
      <name val="VNI-Times"/>
      <family val="0"/>
    </font>
    <font>
      <b/>
      <sz val="24"/>
      <name val="Times New Roman"/>
      <family val="1"/>
    </font>
    <font>
      <b/>
      <sz val="18"/>
      <name val="Times New Roman"/>
      <family val="1"/>
    </font>
    <font>
      <b/>
      <sz val="11"/>
      <color indexed="2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thin"/>
      <top>
        <color indexed="63"/>
      </top>
      <bottom style="thin"/>
    </border>
    <border>
      <left style="thin"/>
      <right style="thin"/>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6" fillId="0" borderId="0">
      <alignment/>
      <protection/>
    </xf>
    <xf numFmtId="0" fontId="14" fillId="0" borderId="0">
      <alignment/>
      <protection/>
    </xf>
    <xf numFmtId="0" fontId="15" fillId="0" borderId="0">
      <alignment/>
      <protection/>
    </xf>
    <xf numFmtId="0" fontId="15" fillId="0" borderId="0">
      <alignment/>
      <protection/>
    </xf>
    <xf numFmtId="0" fontId="15"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72">
    <xf numFmtId="0" fontId="0" fillId="0" borderId="0" xfId="0" applyAlignment="1">
      <alignment/>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164" fontId="2" fillId="0" borderId="11" xfId="0" applyNumberFormat="1" applyFont="1" applyBorder="1" applyAlignment="1">
      <alignment/>
    </xf>
    <xf numFmtId="164" fontId="3" fillId="0" borderId="11" xfId="0" applyNumberFormat="1" applyFont="1" applyBorder="1" applyAlignment="1">
      <alignment/>
    </xf>
    <xf numFmtId="0" fontId="4" fillId="0" borderId="0" xfId="0" applyFont="1" applyAlignment="1">
      <alignment/>
    </xf>
    <xf numFmtId="0" fontId="5" fillId="0" borderId="0" xfId="0" applyFont="1" applyAlignment="1">
      <alignment/>
    </xf>
    <xf numFmtId="164" fontId="4" fillId="0" borderId="0" xfId="0" applyNumberFormat="1" applyFont="1" applyAlignment="1">
      <alignment horizontal="center"/>
    </xf>
    <xf numFmtId="0" fontId="4" fillId="0" borderId="0" xfId="0" applyFont="1" applyAlignment="1">
      <alignment horizontal="center"/>
    </xf>
    <xf numFmtId="164" fontId="4" fillId="0" borderId="0" xfId="0" applyNumberFormat="1" applyFont="1" applyAlignment="1">
      <alignment/>
    </xf>
    <xf numFmtId="0" fontId="6" fillId="0" borderId="0" xfId="0" applyFont="1" applyAlignment="1">
      <alignment/>
    </xf>
    <xf numFmtId="0" fontId="3" fillId="0" borderId="0" xfId="0" applyFont="1" applyAlignment="1">
      <alignment horizontal="center"/>
    </xf>
    <xf numFmtId="0" fontId="7" fillId="0" borderId="0" xfId="0" applyFont="1" applyAlignment="1">
      <alignment/>
    </xf>
    <xf numFmtId="0" fontId="8" fillId="0" borderId="0" xfId="0" applyFont="1" applyAlignment="1">
      <alignment/>
    </xf>
    <xf numFmtId="164" fontId="8" fillId="0" borderId="0" xfId="0" applyNumberFormat="1" applyFont="1" applyAlignment="1">
      <alignment/>
    </xf>
    <xf numFmtId="0" fontId="2" fillId="0" borderId="11" xfId="0" applyFont="1" applyBorder="1" applyAlignment="1">
      <alignment horizontal="center"/>
    </xf>
    <xf numFmtId="0" fontId="2" fillId="0" borderId="11" xfId="0" applyFont="1" applyBorder="1" applyAlignment="1">
      <alignment/>
    </xf>
    <xf numFmtId="0" fontId="3" fillId="0" borderId="11" xfId="0" applyFont="1" applyBorder="1" applyAlignment="1">
      <alignment horizontal="center"/>
    </xf>
    <xf numFmtId="0" fontId="3" fillId="0" borderId="11" xfId="0" applyFont="1" applyBorder="1" applyAlignment="1">
      <alignment/>
    </xf>
    <xf numFmtId="0" fontId="2" fillId="0" borderId="12" xfId="0" applyFont="1" applyBorder="1" applyAlignment="1">
      <alignment horizontal="center"/>
    </xf>
    <xf numFmtId="164" fontId="2" fillId="0" borderId="12" xfId="0" applyNumberFormat="1" applyFont="1" applyBorder="1" applyAlignment="1">
      <alignment/>
    </xf>
    <xf numFmtId="0" fontId="3" fillId="0" borderId="0" xfId="0" applyFont="1" applyAlignment="1">
      <alignment/>
    </xf>
    <xf numFmtId="164" fontId="6" fillId="0" borderId="0" xfId="0" applyNumberFormat="1" applyFont="1" applyAlignment="1">
      <alignment/>
    </xf>
    <xf numFmtId="164" fontId="3" fillId="0" borderId="0" xfId="0" applyNumberFormat="1" applyFont="1" applyAlignment="1">
      <alignment/>
    </xf>
    <xf numFmtId="0" fontId="3"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5" fillId="0" borderId="13" xfId="0" applyFont="1" applyBorder="1" applyAlignment="1">
      <alignment horizontal="center"/>
    </xf>
    <xf numFmtId="0" fontId="2" fillId="0" borderId="13" xfId="0" applyFont="1" applyBorder="1" applyAlignment="1">
      <alignment/>
    </xf>
    <xf numFmtId="0" fontId="6" fillId="0" borderId="11" xfId="0" applyFont="1" applyBorder="1" applyAlignment="1">
      <alignment horizontal="center"/>
    </xf>
    <xf numFmtId="0" fontId="5" fillId="0" borderId="11" xfId="0" applyFont="1" applyBorder="1" applyAlignment="1">
      <alignment horizontal="center"/>
    </xf>
    <xf numFmtId="0" fontId="3" fillId="0" borderId="0" xfId="0" applyFont="1" applyFill="1" applyBorder="1" applyAlignment="1">
      <alignment/>
    </xf>
    <xf numFmtId="0" fontId="9" fillId="0" borderId="0" xfId="0" applyFont="1" applyAlignment="1">
      <alignment/>
    </xf>
    <xf numFmtId="0" fontId="10" fillId="0" borderId="0" xfId="0" applyFont="1" applyAlignment="1">
      <alignment/>
    </xf>
    <xf numFmtId="165" fontId="3" fillId="0" borderId="0" xfId="42" applyNumberFormat="1" applyFont="1" applyAlignment="1">
      <alignment/>
    </xf>
    <xf numFmtId="165" fontId="9" fillId="0" borderId="0" xfId="42" applyNumberFormat="1" applyFont="1" applyAlignment="1">
      <alignment/>
    </xf>
    <xf numFmtId="165" fontId="3" fillId="0" borderId="0" xfId="0" applyNumberFormat="1" applyFont="1" applyAlignment="1">
      <alignment/>
    </xf>
    <xf numFmtId="165" fontId="2" fillId="0" borderId="0" xfId="0" applyNumberFormat="1" applyFont="1" applyAlignment="1">
      <alignment/>
    </xf>
    <xf numFmtId="165" fontId="2" fillId="0" borderId="0" xfId="42" applyNumberFormat="1" applyFont="1" applyAlignment="1">
      <alignment/>
    </xf>
    <xf numFmtId="0" fontId="2" fillId="0" borderId="0" xfId="0" applyFont="1" applyAlignment="1">
      <alignment horizontal="center" vertical="center" wrapText="1"/>
    </xf>
    <xf numFmtId="0" fontId="11" fillId="0" borderId="0" xfId="0" applyFont="1" applyAlignment="1">
      <alignment horizontal="center" vertical="center" wrapText="1"/>
    </xf>
    <xf numFmtId="0" fontId="2" fillId="0" borderId="0" xfId="0" applyFont="1" applyAlignment="1">
      <alignment horizontal="center" wrapText="1"/>
    </xf>
    <xf numFmtId="0" fontId="2" fillId="0" borderId="12" xfId="0" applyFont="1" applyBorder="1" applyAlignment="1">
      <alignment/>
    </xf>
    <xf numFmtId="164" fontId="2" fillId="0" borderId="0" xfId="0" applyNumberFormat="1" applyFont="1" applyAlignment="1">
      <alignment horizontal="center"/>
    </xf>
    <xf numFmtId="164" fontId="2" fillId="0" borderId="0" xfId="0" applyNumberFormat="1" applyFont="1" applyAlignment="1">
      <alignment/>
    </xf>
    <xf numFmtId="164" fontId="3" fillId="0" borderId="0" xfId="0" applyNumberFormat="1" applyFont="1" applyAlignment="1">
      <alignment horizontal="center"/>
    </xf>
    <xf numFmtId="9" fontId="3" fillId="0" borderId="0" xfId="63" applyFont="1" applyAlignment="1">
      <alignment/>
    </xf>
    <xf numFmtId="9" fontId="3" fillId="0" borderId="0" xfId="63" applyFont="1" applyAlignment="1">
      <alignment/>
    </xf>
    <xf numFmtId="165" fontId="2" fillId="0" borderId="11" xfId="42" applyNumberFormat="1" applyFont="1" applyBorder="1" applyAlignment="1">
      <alignment/>
    </xf>
    <xf numFmtId="165" fontId="2" fillId="0" borderId="13" xfId="42" applyNumberFormat="1" applyFont="1" applyBorder="1" applyAlignment="1">
      <alignment/>
    </xf>
    <xf numFmtId="165" fontId="3" fillId="0" borderId="11" xfId="42" applyNumberFormat="1" applyFont="1" applyBorder="1" applyAlignment="1">
      <alignment/>
    </xf>
    <xf numFmtId="164" fontId="8" fillId="0" borderId="0" xfId="0" applyNumberFormat="1" applyFont="1" applyAlignment="1">
      <alignment horizontal="center"/>
    </xf>
    <xf numFmtId="0" fontId="9" fillId="0" borderId="11" xfId="0" applyFont="1" applyBorder="1" applyAlignment="1">
      <alignment horizontal="center"/>
    </xf>
    <xf numFmtId="0" fontId="9" fillId="0" borderId="11" xfId="0" applyFont="1" applyBorder="1" applyAlignment="1">
      <alignment/>
    </xf>
    <xf numFmtId="164" fontId="9" fillId="0" borderId="11" xfId="0" applyNumberFormat="1" applyFont="1" applyBorder="1" applyAlignment="1">
      <alignment/>
    </xf>
    <xf numFmtId="0" fontId="12" fillId="0" borderId="0" xfId="0" applyFont="1" applyAlignment="1">
      <alignment/>
    </xf>
    <xf numFmtId="0" fontId="2" fillId="0" borderId="14" xfId="0" applyFont="1" applyBorder="1" applyAlignment="1">
      <alignment horizontal="center" vertical="center" wrapText="1"/>
    </xf>
    <xf numFmtId="164" fontId="2" fillId="0" borderId="14" xfId="0" applyNumberFormat="1" applyFont="1" applyBorder="1" applyAlignment="1">
      <alignment horizontal="center" vertical="center" wrapText="1"/>
    </xf>
    <xf numFmtId="165" fontId="2" fillId="0" borderId="13" xfId="42" applyNumberFormat="1" applyFont="1" applyBorder="1" applyAlignment="1">
      <alignment horizontal="center"/>
    </xf>
    <xf numFmtId="165" fontId="3" fillId="0" borderId="11" xfId="42" applyNumberFormat="1" applyFont="1" applyBorder="1" applyAlignment="1">
      <alignment horizontal="center"/>
    </xf>
    <xf numFmtId="165" fontId="2" fillId="0" borderId="11" xfId="42" applyNumberFormat="1" applyFont="1" applyBorder="1" applyAlignment="1">
      <alignment horizontal="center"/>
    </xf>
    <xf numFmtId="165" fontId="2" fillId="0" borderId="13" xfId="42" applyNumberFormat="1" applyFont="1" applyBorder="1" applyAlignment="1">
      <alignment/>
    </xf>
    <xf numFmtId="165" fontId="3" fillId="0" borderId="11" xfId="42" applyNumberFormat="1" applyFont="1" applyBorder="1" applyAlignment="1">
      <alignment/>
    </xf>
    <xf numFmtId="165" fontId="2" fillId="0" borderId="11" xfId="42" applyNumberFormat="1" applyFont="1" applyBorder="1" applyAlignment="1">
      <alignment/>
    </xf>
    <xf numFmtId="0" fontId="12" fillId="0" borderId="11" xfId="0" applyFont="1" applyBorder="1" applyAlignment="1">
      <alignment horizontal="center"/>
    </xf>
    <xf numFmtId="165" fontId="9" fillId="0" borderId="11" xfId="42" applyNumberFormat="1" applyFont="1" applyBorder="1" applyAlignment="1">
      <alignment/>
    </xf>
    <xf numFmtId="165" fontId="9" fillId="0" borderId="11" xfId="42" applyNumberFormat="1" applyFont="1" applyBorder="1" applyAlignment="1">
      <alignment horizontal="center"/>
    </xf>
    <xf numFmtId="165" fontId="9" fillId="0" borderId="11" xfId="42" applyNumberFormat="1" applyFont="1" applyBorder="1" applyAlignment="1">
      <alignment/>
    </xf>
    <xf numFmtId="0" fontId="5" fillId="0" borderId="12" xfId="0" applyFont="1" applyBorder="1" applyAlignment="1">
      <alignment horizontal="center"/>
    </xf>
    <xf numFmtId="165" fontId="2" fillId="0" borderId="12" xfId="42" applyNumberFormat="1" applyFont="1" applyBorder="1" applyAlignment="1">
      <alignment/>
    </xf>
    <xf numFmtId="165" fontId="2" fillId="0" borderId="12" xfId="42" applyNumberFormat="1" applyFont="1" applyBorder="1" applyAlignment="1">
      <alignment horizontal="center"/>
    </xf>
    <xf numFmtId="165" fontId="2" fillId="0" borderId="12" xfId="42" applyNumberFormat="1" applyFont="1" applyBorder="1" applyAlignment="1">
      <alignment/>
    </xf>
    <xf numFmtId="0" fontId="13" fillId="0" borderId="0" xfId="0" applyFont="1" applyAlignment="1">
      <alignment/>
    </xf>
    <xf numFmtId="165" fontId="3" fillId="0" borderId="0" xfId="0" applyNumberFormat="1" applyFont="1" applyAlignment="1">
      <alignment horizontal="center"/>
    </xf>
    <xf numFmtId="9" fontId="3" fillId="0" borderId="0" xfId="0" applyNumberFormat="1" applyFont="1" applyAlignment="1">
      <alignment/>
    </xf>
    <xf numFmtId="0" fontId="2" fillId="0" borderId="0" xfId="56" applyNumberFormat="1" applyFont="1" applyAlignment="1">
      <alignment/>
      <protection/>
    </xf>
    <xf numFmtId="0" fontId="3" fillId="33" borderId="0" xfId="56" applyFont="1" applyFill="1">
      <alignment/>
      <protection/>
    </xf>
    <xf numFmtId="41" fontId="3" fillId="0" borderId="0" xfId="56" applyNumberFormat="1" applyFont="1" applyFill="1" applyAlignment="1">
      <alignment horizontal="right"/>
      <protection/>
    </xf>
    <xf numFmtId="41" fontId="3" fillId="33" borderId="0" xfId="56" applyNumberFormat="1" applyFont="1" applyFill="1" applyAlignment="1">
      <alignment horizontal="right"/>
      <protection/>
    </xf>
    <xf numFmtId="41" fontId="3" fillId="0" borderId="0" xfId="0" applyNumberFormat="1" applyFont="1" applyFill="1" applyBorder="1" applyAlignment="1">
      <alignment horizontal="right"/>
    </xf>
    <xf numFmtId="0" fontId="6" fillId="33" borderId="0" xfId="56" applyFont="1" applyFill="1">
      <alignment/>
      <protection/>
    </xf>
    <xf numFmtId="0" fontId="3" fillId="33" borderId="0" xfId="56" applyFont="1" applyFill="1" applyAlignment="1">
      <alignment vertical="center"/>
      <protection/>
    </xf>
    <xf numFmtId="41" fontId="3" fillId="0" borderId="0" xfId="56" applyNumberFormat="1" applyFont="1" applyFill="1" applyAlignment="1">
      <alignment horizontal="right" vertical="center"/>
      <protection/>
    </xf>
    <xf numFmtId="41" fontId="3" fillId="33" borderId="0" xfId="56" applyNumberFormat="1" applyFont="1" applyFill="1" applyAlignment="1">
      <alignment horizontal="right" vertical="center"/>
      <protection/>
    </xf>
    <xf numFmtId="41" fontId="3" fillId="0" borderId="0" xfId="42" applyNumberFormat="1" applyFont="1" applyFill="1" applyAlignment="1">
      <alignment horizontal="right"/>
    </xf>
    <xf numFmtId="0" fontId="2" fillId="33" borderId="0" xfId="56" applyFont="1" applyFill="1" applyAlignment="1">
      <alignment vertical="center"/>
      <protection/>
    </xf>
    <xf numFmtId="0" fontId="3" fillId="33" borderId="15" xfId="56" applyFont="1" applyFill="1" applyBorder="1" applyAlignment="1">
      <alignment vertical="center"/>
      <protection/>
    </xf>
    <xf numFmtId="41" fontId="3" fillId="0" borderId="15" xfId="56" applyNumberFormat="1" applyFont="1" applyFill="1" applyBorder="1" applyAlignment="1">
      <alignment horizontal="right" vertical="center"/>
      <protection/>
    </xf>
    <xf numFmtId="41" fontId="3" fillId="33" borderId="15" xfId="56" applyNumberFormat="1" applyFont="1" applyFill="1" applyBorder="1" applyAlignment="1">
      <alignment horizontal="right" vertical="center"/>
      <protection/>
    </xf>
    <xf numFmtId="41" fontId="3" fillId="0" borderId="15" xfId="42" applyNumberFormat="1" applyFont="1" applyFill="1" applyBorder="1" applyAlignment="1">
      <alignment horizontal="right" vertical="center"/>
    </xf>
    <xf numFmtId="0" fontId="2" fillId="33" borderId="0" xfId="56" applyFont="1" applyFill="1" applyBorder="1" applyAlignment="1">
      <alignment vertical="center"/>
      <protection/>
    </xf>
    <xf numFmtId="0" fontId="3" fillId="33" borderId="0" xfId="56" applyFont="1" applyFill="1" applyBorder="1" applyAlignment="1">
      <alignment vertical="center"/>
      <protection/>
    </xf>
    <xf numFmtId="41" fontId="3" fillId="0" borderId="0" xfId="56" applyNumberFormat="1" applyFont="1" applyFill="1" applyBorder="1" applyAlignment="1">
      <alignment horizontal="right" vertical="center"/>
      <protection/>
    </xf>
    <xf numFmtId="41" fontId="3" fillId="33" borderId="0" xfId="56" applyNumberFormat="1" applyFont="1" applyFill="1" applyBorder="1" applyAlignment="1">
      <alignment horizontal="right" vertical="center"/>
      <protection/>
    </xf>
    <xf numFmtId="41" fontId="3" fillId="0" borderId="0" xfId="42" applyNumberFormat="1" applyFont="1" applyFill="1" applyBorder="1" applyAlignment="1">
      <alignment horizontal="right" vertical="center"/>
    </xf>
    <xf numFmtId="0" fontId="2" fillId="0" borderId="0" xfId="58" applyFont="1" applyFill="1" applyBorder="1" applyAlignment="1">
      <alignment horizontal="center" vertical="center"/>
      <protection/>
    </xf>
    <xf numFmtId="0" fontId="2" fillId="33" borderId="0" xfId="56" applyFont="1" applyFill="1" applyBorder="1" applyAlignment="1">
      <alignment horizontal="left"/>
      <protection/>
    </xf>
    <xf numFmtId="0" fontId="16" fillId="0" borderId="0" xfId="0" applyFont="1" applyFill="1" applyBorder="1" applyAlignment="1">
      <alignment horizontal="center" vertical="center" wrapText="1"/>
    </xf>
    <xf numFmtId="0" fontId="2" fillId="0" borderId="0" xfId="58" applyFont="1" applyFill="1" applyBorder="1" applyAlignment="1">
      <alignment horizontal="center" vertical="center" wrapText="1"/>
      <protection/>
    </xf>
    <xf numFmtId="0" fontId="3" fillId="0" borderId="0" xfId="56" applyFont="1" applyFill="1" applyBorder="1">
      <alignment/>
      <protection/>
    </xf>
    <xf numFmtId="0" fontId="6" fillId="0" borderId="0" xfId="56" applyFont="1" applyFill="1" applyBorder="1">
      <alignment/>
      <protection/>
    </xf>
    <xf numFmtId="0" fontId="2" fillId="33" borderId="0" xfId="56" applyFont="1" applyFill="1" applyBorder="1">
      <alignment/>
      <protection/>
    </xf>
    <xf numFmtId="0" fontId="3" fillId="33" borderId="0" xfId="56" applyFont="1" applyFill="1" applyBorder="1">
      <alignment/>
      <protection/>
    </xf>
    <xf numFmtId="0" fontId="2" fillId="33" borderId="0" xfId="56" applyFont="1" applyFill="1" applyBorder="1" applyAlignment="1">
      <alignment horizontal="center"/>
      <protection/>
    </xf>
    <xf numFmtId="41" fontId="2" fillId="0" borderId="0" xfId="56" applyNumberFormat="1" applyFont="1" applyFill="1" applyBorder="1" applyAlignment="1">
      <alignment horizontal="right"/>
      <protection/>
    </xf>
    <xf numFmtId="41" fontId="2" fillId="33" borderId="0" xfId="56" applyNumberFormat="1" applyFont="1" applyFill="1" applyBorder="1" applyAlignment="1">
      <alignment horizontal="right"/>
      <protection/>
    </xf>
    <xf numFmtId="41" fontId="3" fillId="0" borderId="0" xfId="42" applyNumberFormat="1" applyFont="1" applyFill="1" applyBorder="1" applyAlignment="1">
      <alignment horizontal="right"/>
    </xf>
    <xf numFmtId="0" fontId="3" fillId="33" borderId="0" xfId="56" applyFont="1" applyFill="1" applyAlignment="1">
      <alignment horizontal="center"/>
      <protection/>
    </xf>
    <xf numFmtId="0" fontId="3" fillId="33" borderId="0" xfId="56" applyFont="1" applyFill="1" applyBorder="1" applyAlignment="1" quotePrefix="1">
      <alignment horizontal="center"/>
      <protection/>
    </xf>
    <xf numFmtId="41" fontId="2" fillId="0" borderId="0" xfId="56" applyNumberFormat="1" applyFont="1" applyFill="1" applyBorder="1" applyAlignment="1" quotePrefix="1">
      <alignment horizontal="right"/>
      <protection/>
    </xf>
    <xf numFmtId="41" fontId="3" fillId="33" borderId="0" xfId="56" applyNumberFormat="1" applyFont="1" applyFill="1" applyBorder="1" applyAlignment="1" quotePrefix="1">
      <alignment horizontal="right"/>
      <protection/>
    </xf>
    <xf numFmtId="41" fontId="2" fillId="0" borderId="0" xfId="42" applyNumberFormat="1" applyFont="1" applyFill="1" applyBorder="1" applyAlignment="1">
      <alignment horizontal="right"/>
    </xf>
    <xf numFmtId="41" fontId="3" fillId="33" borderId="0" xfId="56" applyNumberFormat="1" applyFont="1" applyFill="1">
      <alignment/>
      <protection/>
    </xf>
    <xf numFmtId="0" fontId="3" fillId="33" borderId="0" xfId="56" applyFont="1" applyFill="1" applyBorder="1" quotePrefix="1">
      <alignment/>
      <protection/>
    </xf>
    <xf numFmtId="41" fontId="3" fillId="0" borderId="0" xfId="56" applyNumberFormat="1" applyFont="1" applyFill="1" applyBorder="1" applyAlignment="1" quotePrefix="1">
      <alignment horizontal="right"/>
      <protection/>
    </xf>
    <xf numFmtId="165" fontId="3" fillId="33" borderId="0" xfId="56" applyNumberFormat="1" applyFont="1" applyFill="1">
      <alignment/>
      <protection/>
    </xf>
    <xf numFmtId="0" fontId="2" fillId="33" borderId="0" xfId="56" applyFont="1" applyFill="1" applyBorder="1" applyAlignment="1">
      <alignment vertical="top"/>
      <protection/>
    </xf>
    <xf numFmtId="0" fontId="3" fillId="0" borderId="0" xfId="56" applyFont="1" applyBorder="1" applyAlignment="1">
      <alignment vertical="justify" wrapText="1"/>
      <protection/>
    </xf>
    <xf numFmtId="0" fontId="2" fillId="33" borderId="0" xfId="56" applyFont="1" applyFill="1" applyBorder="1" applyAlignment="1" quotePrefix="1">
      <alignment horizontal="center"/>
      <protection/>
    </xf>
    <xf numFmtId="41" fontId="2" fillId="33" borderId="0" xfId="56" applyNumberFormat="1" applyFont="1" applyFill="1" applyBorder="1" applyAlignment="1" quotePrefix="1">
      <alignment horizontal="right"/>
      <protection/>
    </xf>
    <xf numFmtId="0" fontId="3" fillId="0" borderId="0" xfId="56" applyFont="1" applyBorder="1" applyAlignment="1">
      <alignment wrapText="1"/>
      <protection/>
    </xf>
    <xf numFmtId="0" fontId="3" fillId="33" borderId="0" xfId="56" applyFont="1" applyFill="1" applyBorder="1" applyAlignment="1" quotePrefix="1">
      <alignment horizontal="center" vertical="center"/>
      <protection/>
    </xf>
    <xf numFmtId="41" fontId="3" fillId="0" borderId="0" xfId="56" applyNumberFormat="1" applyFont="1" applyFill="1" applyBorder="1" applyAlignment="1" quotePrefix="1">
      <alignment horizontal="right" vertical="center"/>
      <protection/>
    </xf>
    <xf numFmtId="165" fontId="3" fillId="33" borderId="0" xfId="42" applyNumberFormat="1" applyFont="1" applyFill="1" applyAlignment="1">
      <alignment/>
    </xf>
    <xf numFmtId="43" fontId="3" fillId="33" borderId="0" xfId="56" applyNumberFormat="1" applyFont="1" applyFill="1">
      <alignment/>
      <protection/>
    </xf>
    <xf numFmtId="0" fontId="3" fillId="33" borderId="0" xfId="56" applyFont="1" applyFill="1" applyBorder="1" applyAlignment="1" quotePrefix="1">
      <alignment vertical="center"/>
      <protection/>
    </xf>
    <xf numFmtId="41" fontId="3" fillId="33" borderId="0" xfId="56" applyNumberFormat="1" applyFont="1" applyFill="1" applyBorder="1" applyAlignment="1" quotePrefix="1">
      <alignment horizontal="right" vertical="center"/>
      <protection/>
    </xf>
    <xf numFmtId="41" fontId="3" fillId="33" borderId="0" xfId="56" applyNumberFormat="1" applyFont="1" applyFill="1" applyAlignment="1">
      <alignment vertical="center"/>
      <protection/>
    </xf>
    <xf numFmtId="0" fontId="6" fillId="33" borderId="0" xfId="56" applyFont="1" applyFill="1" applyAlignment="1">
      <alignment vertical="center"/>
      <protection/>
    </xf>
    <xf numFmtId="0" fontId="3" fillId="33" borderId="0" xfId="56" applyFont="1" applyFill="1" applyBorder="1" applyAlignment="1">
      <alignment horizontal="left" vertical="top"/>
      <protection/>
    </xf>
    <xf numFmtId="0" fontId="3" fillId="33" borderId="0" xfId="56" applyFont="1" applyFill="1" applyBorder="1" applyAlignment="1">
      <alignment horizontal="left" wrapText="1"/>
      <protection/>
    </xf>
    <xf numFmtId="165" fontId="3" fillId="0" borderId="0" xfId="42" applyNumberFormat="1" applyFont="1" applyFill="1" applyBorder="1" applyAlignment="1">
      <alignment horizontal="right"/>
    </xf>
    <xf numFmtId="0" fontId="3" fillId="33" borderId="0" xfId="56" applyFont="1" applyFill="1" applyBorder="1" applyAlignment="1">
      <alignment vertical="top"/>
      <protection/>
    </xf>
    <xf numFmtId="41" fontId="2" fillId="0" borderId="15" xfId="42" applyNumberFormat="1" applyFont="1" applyFill="1" applyBorder="1" applyAlignment="1">
      <alignment horizontal="right"/>
    </xf>
    <xf numFmtId="0" fontId="3" fillId="33" borderId="0" xfId="56" applyFont="1" applyFill="1" applyBorder="1" applyAlignment="1">
      <alignment/>
      <protection/>
    </xf>
    <xf numFmtId="0" fontId="3" fillId="33" borderId="0" xfId="56" applyFont="1" applyFill="1" applyAlignment="1">
      <alignment/>
      <protection/>
    </xf>
    <xf numFmtId="41" fontId="3" fillId="33" borderId="0" xfId="56" applyNumberFormat="1" applyFont="1" applyFill="1" applyAlignment="1">
      <alignment/>
      <protection/>
    </xf>
    <xf numFmtId="0" fontId="6" fillId="33" borderId="0" xfId="56" applyFont="1" applyFill="1" applyAlignment="1">
      <alignment/>
      <protection/>
    </xf>
    <xf numFmtId="165" fontId="3" fillId="33" borderId="0" xfId="42" applyNumberFormat="1" applyFont="1" applyFill="1" applyAlignment="1">
      <alignment horizontal="center"/>
    </xf>
    <xf numFmtId="41" fontId="3" fillId="33" borderId="0" xfId="56" applyNumberFormat="1" applyFont="1" applyFill="1" applyAlignment="1">
      <alignment horizontal="center"/>
      <protection/>
    </xf>
    <xf numFmtId="0" fontId="3" fillId="33" borderId="0" xfId="56" applyFont="1" applyFill="1" applyBorder="1" applyAlignment="1">
      <alignment horizontal="center"/>
      <protection/>
    </xf>
    <xf numFmtId="41" fontId="3" fillId="0" borderId="0" xfId="56" applyNumberFormat="1" applyFont="1" applyFill="1" applyBorder="1" applyAlignment="1">
      <alignment horizontal="right"/>
      <protection/>
    </xf>
    <xf numFmtId="41" fontId="3" fillId="33" borderId="0" xfId="56" applyNumberFormat="1" applyFont="1" applyFill="1" applyBorder="1" applyAlignment="1">
      <alignment horizontal="right"/>
      <protection/>
    </xf>
    <xf numFmtId="41" fontId="2" fillId="0" borderId="16" xfId="56" applyNumberFormat="1" applyFont="1" applyFill="1" applyBorder="1" applyAlignment="1" quotePrefix="1">
      <alignment horizontal="right"/>
      <protection/>
    </xf>
    <xf numFmtId="43" fontId="3" fillId="33" borderId="0" xfId="42" applyFont="1" applyFill="1" applyAlignment="1">
      <alignment/>
    </xf>
    <xf numFmtId="165" fontId="2" fillId="33" borderId="0" xfId="42" applyNumberFormat="1" applyFont="1" applyFill="1" applyAlignment="1">
      <alignment/>
    </xf>
    <xf numFmtId="41" fontId="3" fillId="0" borderId="0" xfId="0" applyNumberFormat="1" applyFont="1" applyAlignment="1">
      <alignment/>
    </xf>
    <xf numFmtId="41" fontId="16" fillId="0" borderId="0" xfId="42" applyNumberFormat="1" applyFont="1" applyBorder="1" applyAlignment="1">
      <alignment horizontal="center"/>
    </xf>
    <xf numFmtId="41" fontId="16" fillId="0" borderId="0" xfId="0" applyNumberFormat="1" applyFont="1" applyBorder="1" applyAlignment="1">
      <alignment horizontal="center"/>
    </xf>
    <xf numFmtId="41" fontId="16" fillId="0" borderId="0" xfId="0" applyNumberFormat="1" applyFont="1" applyBorder="1" applyAlignment="1">
      <alignment horizontal="left"/>
    </xf>
    <xf numFmtId="41" fontId="16" fillId="0" borderId="0" xfId="0" applyNumberFormat="1" applyFont="1" applyBorder="1" applyAlignment="1">
      <alignment/>
    </xf>
    <xf numFmtId="41" fontId="16" fillId="0" borderId="0" xfId="0" applyNumberFormat="1" applyFont="1" applyBorder="1" applyAlignment="1">
      <alignment/>
    </xf>
    <xf numFmtId="41" fontId="16" fillId="0" borderId="0" xfId="42" applyNumberFormat="1" applyFont="1" applyBorder="1" applyAlignment="1">
      <alignment/>
    </xf>
    <xf numFmtId="41" fontId="6" fillId="0" borderId="0" xfId="0" applyNumberFormat="1" applyFont="1" applyAlignment="1">
      <alignment/>
    </xf>
    <xf numFmtId="41" fontId="18" fillId="0" borderId="0" xfId="0" applyNumberFormat="1" applyFont="1" applyBorder="1" applyAlignment="1">
      <alignment horizontal="left"/>
    </xf>
    <xf numFmtId="0" fontId="18" fillId="0" borderId="0" xfId="0" applyNumberFormat="1" applyFont="1" applyBorder="1" applyAlignment="1">
      <alignment horizontal="left"/>
    </xf>
    <xf numFmtId="41" fontId="18" fillId="0" borderId="0" xfId="0" applyNumberFormat="1" applyFont="1" applyBorder="1" applyAlignment="1">
      <alignment/>
    </xf>
    <xf numFmtId="41" fontId="18" fillId="0" borderId="0" xfId="42" applyNumberFormat="1" applyFont="1" applyBorder="1" applyAlignment="1">
      <alignment/>
    </xf>
    <xf numFmtId="41" fontId="18" fillId="0" borderId="0" xfId="42" applyNumberFormat="1" applyFont="1" applyFill="1" applyBorder="1" applyAlignment="1">
      <alignment horizontal="right"/>
    </xf>
    <xf numFmtId="41" fontId="18" fillId="0" borderId="0" xfId="42" applyNumberFormat="1" applyFont="1" applyBorder="1" applyAlignment="1">
      <alignment horizontal="right"/>
    </xf>
    <xf numFmtId="41" fontId="3" fillId="0" borderId="0" xfId="0" applyNumberFormat="1" applyFont="1" applyAlignment="1">
      <alignment horizontal="left"/>
    </xf>
    <xf numFmtId="0" fontId="3" fillId="0" borderId="0" xfId="0" applyNumberFormat="1" applyFont="1" applyAlignment="1">
      <alignment horizontal="left"/>
    </xf>
    <xf numFmtId="41" fontId="3" fillId="0" borderId="0" xfId="42" applyNumberFormat="1" applyFont="1" applyAlignment="1">
      <alignment/>
    </xf>
    <xf numFmtId="41" fontId="3" fillId="0" borderId="0" xfId="42" applyNumberFormat="1" applyFont="1" applyAlignment="1">
      <alignment horizontal="right"/>
    </xf>
    <xf numFmtId="41" fontId="2" fillId="0" borderId="0" xfId="0" applyNumberFormat="1" applyFont="1" applyAlignment="1">
      <alignment horizontal="left"/>
    </xf>
    <xf numFmtId="41" fontId="2" fillId="0" borderId="0" xfId="42" applyNumberFormat="1" applyFont="1" applyAlignment="1">
      <alignment horizontal="center"/>
    </xf>
    <xf numFmtId="41" fontId="2" fillId="0" borderId="0" xfId="42" applyNumberFormat="1" applyFont="1" applyFill="1" applyAlignment="1">
      <alignment horizontal="right"/>
    </xf>
    <xf numFmtId="41" fontId="2" fillId="0" borderId="0" xfId="42" applyNumberFormat="1" applyFont="1" applyAlignment="1">
      <alignment horizontal="right"/>
    </xf>
    <xf numFmtId="41" fontId="3" fillId="0" borderId="0" xfId="42" applyNumberFormat="1" applyFont="1" applyAlignment="1">
      <alignment/>
    </xf>
    <xf numFmtId="41" fontId="2" fillId="0" borderId="0" xfId="42" applyNumberFormat="1" applyFont="1" applyAlignment="1">
      <alignment/>
    </xf>
    <xf numFmtId="41" fontId="6" fillId="0" borderId="0" xfId="56" applyNumberFormat="1" applyFont="1" applyFill="1" applyAlignment="1">
      <alignment horizontal="right"/>
      <protection/>
    </xf>
    <xf numFmtId="41" fontId="6" fillId="33" borderId="0" xfId="56" applyNumberFormat="1" applyFont="1" applyFill="1" applyAlignment="1">
      <alignment horizontal="right"/>
      <protection/>
    </xf>
    <xf numFmtId="41" fontId="6" fillId="0" borderId="0" xfId="42" applyNumberFormat="1" applyFont="1" applyFill="1" applyAlignment="1">
      <alignment horizontal="right"/>
    </xf>
    <xf numFmtId="0" fontId="2" fillId="33" borderId="15" xfId="56" applyFont="1" applyFill="1" applyBorder="1" applyAlignment="1">
      <alignment vertical="center"/>
      <protection/>
    </xf>
    <xf numFmtId="41" fontId="2" fillId="0" borderId="0" xfId="42" applyNumberFormat="1" applyFont="1" applyFill="1" applyBorder="1" applyAlignment="1">
      <alignment horizontal="center" vertical="center" wrapText="1"/>
    </xf>
    <xf numFmtId="0" fontId="2" fillId="0" borderId="0" xfId="0" applyFont="1" applyBorder="1" applyAlignment="1">
      <alignment horizontal="left" vertical="center"/>
    </xf>
    <xf numFmtId="0" fontId="19" fillId="0" borderId="0" xfId="0" applyFont="1" applyBorder="1" applyAlignment="1">
      <alignment vertical="center"/>
    </xf>
    <xf numFmtId="41" fontId="19" fillId="0" borderId="0" xfId="0" applyNumberFormat="1" applyFont="1" applyBorder="1" applyAlignment="1">
      <alignment horizontal="right" vertical="center"/>
    </xf>
    <xf numFmtId="0" fontId="19" fillId="0" borderId="0" xfId="0" applyFont="1" applyBorder="1" applyAlignment="1">
      <alignment horizontal="right" vertical="center"/>
    </xf>
    <xf numFmtId="41" fontId="20" fillId="0" borderId="0" xfId="0" applyNumberFormat="1" applyFont="1" applyBorder="1" applyAlignment="1">
      <alignment horizontal="right"/>
    </xf>
    <xf numFmtId="37" fontId="19" fillId="0" borderId="0" xfId="0" applyNumberFormat="1" applyFont="1" applyAlignment="1">
      <alignment/>
    </xf>
    <xf numFmtId="37" fontId="0" fillId="0" borderId="0" xfId="0" applyNumberFormat="1" applyFont="1" applyAlignment="1">
      <alignment/>
    </xf>
    <xf numFmtId="0" fontId="21" fillId="0" borderId="0" xfId="55" applyFont="1" applyBorder="1" applyAlignment="1">
      <alignment horizontal="left" vertical="center"/>
      <protection/>
    </xf>
    <xf numFmtId="0" fontId="19" fillId="0" borderId="0" xfId="55" applyFont="1" applyBorder="1" applyAlignment="1">
      <alignment vertical="center"/>
      <protection/>
    </xf>
    <xf numFmtId="0" fontId="19" fillId="0" borderId="0" xfId="55" applyFont="1" applyBorder="1" applyAlignment="1">
      <alignment horizontal="right" vertical="center"/>
      <protection/>
    </xf>
    <xf numFmtId="41" fontId="20" fillId="0" borderId="0" xfId="55" applyNumberFormat="1" applyFont="1" applyBorder="1" applyAlignment="1">
      <alignment horizontal="right" vertical="center"/>
      <protection/>
    </xf>
    <xf numFmtId="0" fontId="19" fillId="0" borderId="15" xfId="0" applyFont="1" applyBorder="1" applyAlignment="1">
      <alignment vertical="center"/>
    </xf>
    <xf numFmtId="41" fontId="19" fillId="0" borderId="15" xfId="0" applyNumberFormat="1" applyFont="1" applyBorder="1" applyAlignment="1">
      <alignment horizontal="right" vertical="center"/>
    </xf>
    <xf numFmtId="37" fontId="19" fillId="0" borderId="0" xfId="0" applyNumberFormat="1" applyFont="1" applyBorder="1" applyAlignment="1">
      <alignment horizontal="left" vertical="center"/>
    </xf>
    <xf numFmtId="37" fontId="19" fillId="0" borderId="0" xfId="0" applyNumberFormat="1" applyFont="1" applyBorder="1" applyAlignment="1">
      <alignment vertical="center"/>
    </xf>
    <xf numFmtId="41" fontId="20" fillId="0" borderId="0" xfId="0" applyNumberFormat="1" applyFont="1" applyBorder="1" applyAlignment="1">
      <alignment horizontal="right" vertical="center"/>
    </xf>
    <xf numFmtId="37" fontId="19" fillId="0" borderId="0" xfId="0" applyNumberFormat="1" applyFont="1" applyBorder="1" applyAlignment="1">
      <alignment/>
    </xf>
    <xf numFmtId="37" fontId="0" fillId="0" borderId="0" xfId="0" applyNumberFormat="1" applyFont="1" applyBorder="1" applyAlignment="1">
      <alignment/>
    </xf>
    <xf numFmtId="37" fontId="20" fillId="0" borderId="0" xfId="0" applyNumberFormat="1" applyFont="1" applyFill="1" applyBorder="1" applyAlignment="1">
      <alignment horizontal="left"/>
    </xf>
    <xf numFmtId="37" fontId="20" fillId="0" borderId="0" xfId="0" applyNumberFormat="1" applyFont="1" applyFill="1" applyBorder="1" applyAlignment="1">
      <alignment/>
    </xf>
    <xf numFmtId="37" fontId="19" fillId="0" borderId="0" xfId="42" applyNumberFormat="1" applyFont="1" applyFill="1" applyBorder="1" applyAlignment="1">
      <alignment horizontal="left"/>
    </xf>
    <xf numFmtId="37" fontId="19" fillId="0" borderId="0" xfId="42" applyNumberFormat="1" applyFont="1" applyFill="1" applyBorder="1" applyAlignment="1">
      <alignment horizontal="justify" wrapText="1"/>
    </xf>
    <xf numFmtId="37" fontId="19" fillId="0" borderId="0" xfId="0" applyNumberFormat="1" applyFont="1" applyFill="1" applyBorder="1" applyAlignment="1">
      <alignment/>
    </xf>
    <xf numFmtId="41" fontId="20" fillId="0" borderId="0" xfId="0" applyNumberFormat="1" applyFont="1" applyFill="1" applyBorder="1" applyAlignment="1">
      <alignment/>
    </xf>
    <xf numFmtId="37" fontId="0" fillId="0" borderId="0" xfId="0" applyNumberFormat="1" applyFont="1" applyFill="1" applyBorder="1" applyAlignment="1">
      <alignment/>
    </xf>
    <xf numFmtId="37" fontId="20" fillId="0" borderId="0" xfId="0" applyNumberFormat="1" applyFont="1" applyFill="1" applyBorder="1" applyAlignment="1" quotePrefix="1">
      <alignment horizontal="left"/>
    </xf>
    <xf numFmtId="41" fontId="20" fillId="0" borderId="0" xfId="0" applyNumberFormat="1" applyFont="1" applyFill="1" applyBorder="1" applyAlignment="1">
      <alignment/>
    </xf>
    <xf numFmtId="37" fontId="20" fillId="0" borderId="10" xfId="0" applyNumberFormat="1" applyFont="1" applyFill="1" applyBorder="1" applyAlignment="1">
      <alignment horizontal="center" wrapText="1"/>
    </xf>
    <xf numFmtId="37" fontId="20" fillId="0" borderId="17" xfId="0" applyNumberFormat="1" applyFont="1" applyFill="1" applyBorder="1" applyAlignment="1">
      <alignment vertical="center" wrapText="1"/>
    </xf>
    <xf numFmtId="37" fontId="20" fillId="0" borderId="17" xfId="0" applyNumberFormat="1" applyFont="1" applyFill="1" applyBorder="1" applyAlignment="1">
      <alignment horizontal="center" vertical="center" wrapText="1"/>
    </xf>
    <xf numFmtId="37" fontId="20" fillId="0" borderId="0" xfId="0" applyNumberFormat="1" applyFont="1" applyFill="1" applyBorder="1" applyAlignment="1">
      <alignment horizontal="center" vertical="center" wrapText="1"/>
    </xf>
    <xf numFmtId="41" fontId="20" fillId="0" borderId="0" xfId="0" applyNumberFormat="1" applyFont="1" applyFill="1" applyBorder="1" applyAlignment="1">
      <alignment horizontal="center" vertical="center" wrapText="1"/>
    </xf>
    <xf numFmtId="0" fontId="20" fillId="0" borderId="14" xfId="59" applyFont="1" applyFill="1" applyBorder="1" applyAlignment="1">
      <alignment/>
      <protection/>
    </xf>
    <xf numFmtId="165" fontId="20" fillId="0" borderId="14" xfId="42" applyNumberFormat="1" applyFont="1" applyFill="1" applyBorder="1" applyAlignment="1">
      <alignment vertical="center"/>
    </xf>
    <xf numFmtId="37" fontId="20" fillId="0" borderId="0" xfId="0" applyNumberFormat="1" applyFont="1" applyFill="1" applyBorder="1" applyAlignment="1">
      <alignment vertical="center"/>
    </xf>
    <xf numFmtId="41" fontId="20" fillId="0" borderId="0" xfId="0" applyNumberFormat="1" applyFont="1" applyFill="1" applyBorder="1" applyAlignment="1">
      <alignment vertical="center"/>
    </xf>
    <xf numFmtId="37" fontId="11" fillId="0" borderId="0" xfId="0" applyNumberFormat="1" applyFont="1" applyFill="1" applyBorder="1" applyAlignment="1">
      <alignment vertical="center"/>
    </xf>
    <xf numFmtId="0" fontId="19" fillId="0" borderId="18" xfId="59" applyFont="1" applyFill="1" applyBorder="1" applyAlignment="1">
      <alignment/>
      <protection/>
    </xf>
    <xf numFmtId="0" fontId="19" fillId="0" borderId="19" xfId="59" applyFont="1" applyFill="1" applyBorder="1" applyAlignment="1">
      <alignment/>
      <protection/>
    </xf>
    <xf numFmtId="165" fontId="19" fillId="0" borderId="14" xfId="42" applyNumberFormat="1" applyFont="1" applyFill="1" applyBorder="1" applyAlignment="1">
      <alignment vertical="center" wrapText="1"/>
    </xf>
    <xf numFmtId="165" fontId="19" fillId="0" borderId="14" xfId="42" applyNumberFormat="1" applyFont="1" applyFill="1" applyBorder="1" applyAlignment="1">
      <alignment/>
    </xf>
    <xf numFmtId="165" fontId="19" fillId="0" borderId="14" xfId="42" applyNumberFormat="1" applyFont="1" applyFill="1" applyBorder="1" applyAlignment="1">
      <alignment vertical="center"/>
    </xf>
    <xf numFmtId="37" fontId="19" fillId="0" borderId="0" xfId="0" applyNumberFormat="1" applyFont="1" applyFill="1" applyBorder="1" applyAlignment="1">
      <alignment vertical="center"/>
    </xf>
    <xf numFmtId="41" fontId="19" fillId="0" borderId="0" xfId="0" applyNumberFormat="1" applyFont="1" applyFill="1" applyBorder="1" applyAlignment="1">
      <alignment/>
    </xf>
    <xf numFmtId="165" fontId="19" fillId="0" borderId="14" xfId="42" applyNumberFormat="1" applyFont="1" applyFill="1" applyBorder="1" applyAlignment="1">
      <alignment wrapText="1"/>
    </xf>
    <xf numFmtId="165" fontId="19" fillId="0" borderId="14" xfId="42" applyNumberFormat="1" applyFont="1" applyFill="1" applyBorder="1" applyAlignment="1">
      <alignment/>
    </xf>
    <xf numFmtId="37" fontId="19" fillId="0" borderId="0" xfId="0" applyNumberFormat="1" applyFont="1" applyFill="1" applyBorder="1" applyAlignment="1">
      <alignment/>
    </xf>
    <xf numFmtId="41" fontId="19" fillId="0" borderId="0" xfId="42" applyNumberFormat="1" applyFont="1" applyFill="1" applyBorder="1" applyAlignment="1" quotePrefix="1">
      <alignment horizontal="right"/>
    </xf>
    <xf numFmtId="37" fontId="0" fillId="0" borderId="0" xfId="0" applyNumberFormat="1" applyFont="1" applyFill="1" applyBorder="1" applyAlignment="1">
      <alignment/>
    </xf>
    <xf numFmtId="165" fontId="19" fillId="0" borderId="14" xfId="42" applyNumberFormat="1" applyFont="1" applyFill="1" applyBorder="1" applyAlignment="1" quotePrefix="1">
      <alignment horizontal="right"/>
    </xf>
    <xf numFmtId="41" fontId="19" fillId="0" borderId="0" xfId="0" applyNumberFormat="1" applyFont="1" applyFill="1" applyBorder="1" applyAlignment="1">
      <alignment vertical="center"/>
    </xf>
    <xf numFmtId="43" fontId="22" fillId="0" borderId="0" xfId="42" applyFont="1" applyFill="1" applyBorder="1" applyAlignment="1">
      <alignment vertical="center"/>
    </xf>
    <xf numFmtId="37" fontId="22" fillId="0" borderId="0" xfId="0" applyNumberFormat="1" applyFont="1" applyFill="1" applyBorder="1" applyAlignment="1">
      <alignment vertical="center"/>
    </xf>
    <xf numFmtId="37" fontId="0" fillId="0" borderId="0" xfId="0" applyNumberFormat="1" applyFont="1" applyFill="1" applyBorder="1" applyAlignment="1">
      <alignment vertical="center"/>
    </xf>
    <xf numFmtId="37" fontId="22" fillId="0" borderId="0" xfId="0" applyNumberFormat="1" applyFont="1" applyFill="1" applyBorder="1" applyAlignment="1">
      <alignment/>
    </xf>
    <xf numFmtId="0" fontId="20" fillId="0" borderId="18" xfId="59" applyFont="1" applyFill="1" applyBorder="1" applyAlignment="1">
      <alignment/>
      <protection/>
    </xf>
    <xf numFmtId="0" fontId="20" fillId="0" borderId="19" xfId="59" applyFont="1" applyFill="1" applyBorder="1" applyAlignment="1">
      <alignment/>
      <protection/>
    </xf>
    <xf numFmtId="165" fontId="20" fillId="0" borderId="14" xfId="42" applyNumberFormat="1" applyFont="1" applyFill="1" applyBorder="1" applyAlignment="1">
      <alignment horizontal="justify" wrapText="1"/>
    </xf>
    <xf numFmtId="165" fontId="19" fillId="0" borderId="14" xfId="42" applyNumberFormat="1" applyFont="1" applyFill="1" applyBorder="1" applyAlignment="1">
      <alignment horizontal="justify" wrapText="1"/>
    </xf>
    <xf numFmtId="165" fontId="19" fillId="0" borderId="14" xfId="42" applyNumberFormat="1" applyFont="1" applyFill="1" applyBorder="1" applyAlignment="1">
      <alignment horizontal="left"/>
    </xf>
    <xf numFmtId="165" fontId="20" fillId="0" borderId="14" xfId="42" applyNumberFormat="1" applyFont="1" applyBorder="1" applyAlignment="1">
      <alignment/>
    </xf>
    <xf numFmtId="165" fontId="19" fillId="0" borderId="14" xfId="42" applyNumberFormat="1" applyFont="1" applyBorder="1" applyAlignment="1">
      <alignment/>
    </xf>
    <xf numFmtId="37" fontId="20" fillId="0" borderId="0" xfId="0" applyNumberFormat="1" applyFont="1" applyBorder="1" applyAlignment="1">
      <alignment/>
    </xf>
    <xf numFmtId="37" fontId="19" fillId="0" borderId="0" xfId="0" applyNumberFormat="1" applyFont="1" applyBorder="1" applyAlignment="1">
      <alignment/>
    </xf>
    <xf numFmtId="41" fontId="19" fillId="0" borderId="0" xfId="0" applyNumberFormat="1" applyFont="1" applyBorder="1" applyAlignment="1">
      <alignment horizontal="right"/>
    </xf>
    <xf numFmtId="165" fontId="19" fillId="33" borderId="14" xfId="42" applyNumberFormat="1" applyFont="1" applyFill="1" applyBorder="1" applyAlignment="1">
      <alignment/>
    </xf>
    <xf numFmtId="37" fontId="19" fillId="33" borderId="0" xfId="0" applyNumberFormat="1" applyFont="1" applyFill="1" applyBorder="1" applyAlignment="1">
      <alignment/>
    </xf>
    <xf numFmtId="41" fontId="19" fillId="33" borderId="0" xfId="0" applyNumberFormat="1" applyFont="1" applyFill="1" applyBorder="1" applyAlignment="1">
      <alignment horizontal="right"/>
    </xf>
    <xf numFmtId="165" fontId="20" fillId="33" borderId="14" xfId="42" applyNumberFormat="1" applyFont="1" applyFill="1" applyBorder="1" applyAlignment="1">
      <alignment/>
    </xf>
    <xf numFmtId="165" fontId="20" fillId="0" borderId="14" xfId="42" applyNumberFormat="1" applyFont="1" applyFill="1" applyBorder="1" applyAlignment="1">
      <alignment/>
    </xf>
    <xf numFmtId="37" fontId="20" fillId="33" borderId="0" xfId="0" applyNumberFormat="1" applyFont="1" applyFill="1" applyBorder="1" applyAlignment="1">
      <alignment/>
    </xf>
    <xf numFmtId="37" fontId="20" fillId="33" borderId="0" xfId="42" applyNumberFormat="1" applyFont="1" applyFill="1" applyBorder="1" applyAlignment="1">
      <alignment/>
    </xf>
    <xf numFmtId="41" fontId="20" fillId="33" borderId="0" xfId="42" applyNumberFormat="1" applyFont="1" applyFill="1" applyBorder="1" applyAlignment="1">
      <alignment horizontal="right"/>
    </xf>
    <xf numFmtId="37" fontId="20" fillId="0" borderId="0" xfId="0" applyNumberFormat="1" applyFont="1" applyBorder="1" applyAlignment="1">
      <alignment/>
    </xf>
    <xf numFmtId="37" fontId="11" fillId="0" borderId="0" xfId="0" applyNumberFormat="1" applyFont="1" applyBorder="1" applyAlignment="1">
      <alignment/>
    </xf>
    <xf numFmtId="165" fontId="19" fillId="33" borderId="14" xfId="42" applyNumberFormat="1" applyFont="1" applyFill="1" applyBorder="1" applyAlignment="1">
      <alignment horizontal="right"/>
    </xf>
    <xf numFmtId="165" fontId="19" fillId="0" borderId="14" xfId="42" applyNumberFormat="1" applyFont="1" applyFill="1" applyBorder="1" applyAlignment="1">
      <alignment horizontal="right"/>
    </xf>
    <xf numFmtId="37" fontId="19" fillId="33" borderId="0" xfId="0" applyNumberFormat="1" applyFont="1" applyFill="1" applyBorder="1" applyAlignment="1">
      <alignment horizontal="right"/>
    </xf>
    <xf numFmtId="37" fontId="19" fillId="33" borderId="0" xfId="42" applyNumberFormat="1" applyFont="1" applyFill="1" applyBorder="1" applyAlignment="1">
      <alignment horizontal="center"/>
    </xf>
    <xf numFmtId="0" fontId="20" fillId="0" borderId="18" xfId="59" applyFont="1" applyFill="1" applyBorder="1" applyAlignment="1">
      <alignment vertical="center"/>
      <protection/>
    </xf>
    <xf numFmtId="0" fontId="20" fillId="0" borderId="19" xfId="59" applyFont="1" applyFill="1" applyBorder="1" applyAlignment="1">
      <alignment vertical="center"/>
      <protection/>
    </xf>
    <xf numFmtId="165" fontId="20" fillId="33" borderId="14" xfId="42" applyNumberFormat="1" applyFont="1" applyFill="1" applyBorder="1" applyAlignment="1">
      <alignment horizontal="left" wrapText="1"/>
    </xf>
    <xf numFmtId="37" fontId="20" fillId="33" borderId="0" xfId="60" applyNumberFormat="1" applyFont="1" applyFill="1" applyBorder="1" applyAlignment="1">
      <alignment horizontal="left" wrapText="1"/>
      <protection/>
    </xf>
    <xf numFmtId="37" fontId="20" fillId="0" borderId="0" xfId="0" applyNumberFormat="1" applyFont="1" applyBorder="1" applyAlignment="1">
      <alignment wrapText="1"/>
    </xf>
    <xf numFmtId="41" fontId="19" fillId="33" borderId="0" xfId="42" applyNumberFormat="1" applyFont="1" applyFill="1" applyBorder="1" applyAlignment="1">
      <alignment horizontal="right"/>
    </xf>
    <xf numFmtId="37" fontId="19" fillId="0" borderId="0" xfId="42" applyNumberFormat="1" applyFont="1" applyBorder="1" applyAlignment="1">
      <alignment/>
    </xf>
    <xf numFmtId="41" fontId="19" fillId="0" borderId="0" xfId="42" applyNumberFormat="1" applyFont="1" applyBorder="1" applyAlignment="1">
      <alignment horizontal="right"/>
    </xf>
    <xf numFmtId="37" fontId="20" fillId="33" borderId="0" xfId="0" applyNumberFormat="1" applyFont="1" applyFill="1" applyBorder="1" applyAlignment="1">
      <alignment vertical="center"/>
    </xf>
    <xf numFmtId="37" fontId="20" fillId="33" borderId="0" xfId="42" applyNumberFormat="1" applyFont="1" applyFill="1" applyBorder="1" applyAlignment="1" quotePrefix="1">
      <alignment horizontal="right"/>
    </xf>
    <xf numFmtId="41" fontId="20" fillId="33" borderId="0" xfId="42" applyNumberFormat="1" applyFont="1" applyFill="1" applyBorder="1" applyAlignment="1" quotePrefix="1">
      <alignment horizontal="right"/>
    </xf>
    <xf numFmtId="165" fontId="19" fillId="33" borderId="14" xfId="42" applyNumberFormat="1" applyFont="1" applyFill="1" applyBorder="1" applyAlignment="1">
      <alignment vertical="center"/>
    </xf>
    <xf numFmtId="37" fontId="20" fillId="33" borderId="0" xfId="42" applyNumberFormat="1" applyFont="1" applyFill="1" applyBorder="1" applyAlignment="1">
      <alignment horizontal="right"/>
    </xf>
    <xf numFmtId="41" fontId="20" fillId="0" borderId="0" xfId="42" applyNumberFormat="1" applyFont="1" applyBorder="1" applyAlignment="1">
      <alignment horizontal="right"/>
    </xf>
    <xf numFmtId="165" fontId="19" fillId="0" borderId="14" xfId="42" applyNumberFormat="1" applyFont="1" applyBorder="1" applyAlignment="1">
      <alignment horizontal="left"/>
    </xf>
    <xf numFmtId="165" fontId="23" fillId="0" borderId="14" xfId="42" applyNumberFormat="1" applyFont="1" applyBorder="1" applyAlignment="1">
      <alignment horizontal="right"/>
    </xf>
    <xf numFmtId="165" fontId="19" fillId="0" borderId="14" xfId="42" applyNumberFormat="1" applyFont="1" applyBorder="1" applyAlignment="1">
      <alignment horizontal="justify" wrapText="1"/>
    </xf>
    <xf numFmtId="165" fontId="20" fillId="33" borderId="14" xfId="42" applyNumberFormat="1" applyFont="1" applyFill="1" applyBorder="1" applyAlignment="1">
      <alignment vertical="center"/>
    </xf>
    <xf numFmtId="41" fontId="20" fillId="0" borderId="0" xfId="42" applyNumberFormat="1" applyFont="1" applyBorder="1" applyAlignment="1" quotePrefix="1">
      <alignment horizontal="right"/>
    </xf>
    <xf numFmtId="0" fontId="20" fillId="0" borderId="20" xfId="59" applyFont="1" applyFill="1" applyBorder="1" applyAlignment="1">
      <alignment/>
      <protection/>
    </xf>
    <xf numFmtId="0" fontId="20" fillId="0" borderId="21" xfId="59" applyFont="1" applyFill="1" applyBorder="1" applyAlignment="1">
      <alignment/>
      <protection/>
    </xf>
    <xf numFmtId="165" fontId="20" fillId="33" borderId="22" xfId="42" applyNumberFormat="1" applyFont="1" applyFill="1" applyBorder="1" applyAlignment="1">
      <alignment/>
    </xf>
    <xf numFmtId="37" fontId="24" fillId="33" borderId="0" xfId="0" applyNumberFormat="1" applyFont="1" applyFill="1" applyBorder="1" applyAlignment="1">
      <alignment horizontal="left"/>
    </xf>
    <xf numFmtId="37" fontId="24" fillId="33" borderId="0" xfId="0" applyNumberFormat="1" applyFont="1" applyFill="1" applyBorder="1" applyAlignment="1">
      <alignment/>
    </xf>
    <xf numFmtId="37" fontId="24" fillId="33" borderId="0" xfId="42" applyNumberFormat="1" applyFont="1" applyFill="1" applyBorder="1" applyAlignment="1">
      <alignment horizontal="right"/>
    </xf>
    <xf numFmtId="41" fontId="24" fillId="0" borderId="0" xfId="42" applyNumberFormat="1" applyFont="1" applyBorder="1" applyAlignment="1">
      <alignment horizontal="right"/>
    </xf>
    <xf numFmtId="37" fontId="25" fillId="0" borderId="0" xfId="0" applyNumberFormat="1" applyFont="1" applyBorder="1" applyAlignment="1">
      <alignment/>
    </xf>
    <xf numFmtId="37" fontId="26" fillId="0" borderId="0" xfId="0" applyNumberFormat="1" applyFont="1" applyBorder="1" applyAlignment="1">
      <alignment/>
    </xf>
    <xf numFmtId="37" fontId="20" fillId="0" borderId="0" xfId="42" applyNumberFormat="1" applyFont="1" applyBorder="1" applyAlignment="1">
      <alignment/>
    </xf>
    <xf numFmtId="43" fontId="19" fillId="0" borderId="0" xfId="42" applyFont="1" applyBorder="1" applyAlignment="1">
      <alignment horizontal="left"/>
    </xf>
    <xf numFmtId="43" fontId="20" fillId="33" borderId="0" xfId="42" applyFont="1" applyFill="1" applyBorder="1" applyAlignment="1">
      <alignment horizontal="right"/>
    </xf>
    <xf numFmtId="37" fontId="19" fillId="0" borderId="0" xfId="0" applyNumberFormat="1" applyFont="1" applyBorder="1" applyAlignment="1" quotePrefix="1">
      <alignment horizontal="center"/>
    </xf>
    <xf numFmtId="37" fontId="19" fillId="0" borderId="0" xfId="0" applyNumberFormat="1" applyFont="1" applyBorder="1" applyAlignment="1" quotePrefix="1">
      <alignment horizontal="left"/>
    </xf>
    <xf numFmtId="37" fontId="19" fillId="0" borderId="0" xfId="42" applyNumberFormat="1" applyFont="1" applyBorder="1" applyAlignment="1">
      <alignment horizontal="left"/>
    </xf>
    <xf numFmtId="0" fontId="27" fillId="0" borderId="18" xfId="59" applyFont="1" applyBorder="1" applyAlignment="1" quotePrefix="1">
      <alignment/>
      <protection/>
    </xf>
    <xf numFmtId="0" fontId="23" fillId="0" borderId="0" xfId="59" applyFont="1" applyBorder="1" applyAlignment="1">
      <alignment/>
      <protection/>
    </xf>
    <xf numFmtId="165" fontId="23" fillId="0" borderId="14" xfId="42" applyNumberFormat="1" applyFont="1" applyFill="1" applyBorder="1" applyAlignment="1">
      <alignment vertical="center"/>
    </xf>
    <xf numFmtId="37" fontId="23" fillId="33" borderId="0" xfId="42" applyNumberFormat="1" applyFont="1" applyFill="1" applyBorder="1" applyAlignment="1">
      <alignment horizontal="right"/>
    </xf>
    <xf numFmtId="37" fontId="23" fillId="33" borderId="0" xfId="0" applyNumberFormat="1" applyFont="1" applyFill="1" applyBorder="1" applyAlignment="1">
      <alignment/>
    </xf>
    <xf numFmtId="41" fontId="23" fillId="0" borderId="0" xfId="42" applyNumberFormat="1" applyFont="1" applyBorder="1" applyAlignment="1">
      <alignment horizontal="right"/>
    </xf>
    <xf numFmtId="37" fontId="23" fillId="0" borderId="0" xfId="0" applyNumberFormat="1" applyFont="1" applyAlignment="1">
      <alignment/>
    </xf>
    <xf numFmtId="37" fontId="28" fillId="0" borderId="0" xfId="0" applyNumberFormat="1" applyFont="1" applyAlignment="1">
      <alignment/>
    </xf>
    <xf numFmtId="165" fontId="23" fillId="0" borderId="14" xfId="42" applyNumberFormat="1" applyFont="1" applyFill="1" applyBorder="1" applyAlignment="1">
      <alignment vertical="center" wrapText="1"/>
    </xf>
    <xf numFmtId="165" fontId="23" fillId="0" borderId="14" xfId="42" applyNumberFormat="1" applyFont="1" applyFill="1" applyBorder="1" applyAlignment="1">
      <alignment/>
    </xf>
    <xf numFmtId="37" fontId="23" fillId="33" borderId="0" xfId="42" applyNumberFormat="1" applyFont="1" applyFill="1" applyAlignment="1" quotePrefix="1">
      <alignment horizontal="right"/>
    </xf>
    <xf numFmtId="41" fontId="23" fillId="33" borderId="0" xfId="42" applyNumberFormat="1" applyFont="1" applyFill="1" applyAlignment="1" quotePrefix="1">
      <alignment horizontal="right"/>
    </xf>
    <xf numFmtId="0" fontId="29" fillId="0" borderId="18" xfId="59" applyFont="1" applyBorder="1" applyAlignment="1" quotePrefix="1">
      <alignment/>
      <protection/>
    </xf>
    <xf numFmtId="0" fontId="19" fillId="0" borderId="0" xfId="59" applyFont="1" applyBorder="1" applyAlignment="1">
      <alignment/>
      <protection/>
    </xf>
    <xf numFmtId="37" fontId="19" fillId="33" borderId="0" xfId="42" applyNumberFormat="1" applyFont="1" applyFill="1" applyBorder="1" applyAlignment="1">
      <alignment horizontal="right"/>
    </xf>
    <xf numFmtId="37" fontId="19" fillId="33" borderId="0" xfId="42" applyNumberFormat="1" applyFont="1" applyFill="1" applyAlignment="1">
      <alignment horizontal="right"/>
    </xf>
    <xf numFmtId="41" fontId="19" fillId="33" borderId="0" xfId="42" applyNumberFormat="1" applyFont="1" applyFill="1" applyAlignment="1">
      <alignment horizontal="right"/>
    </xf>
    <xf numFmtId="0" fontId="30" fillId="0" borderId="18" xfId="59" applyFont="1" applyBorder="1" applyAlignment="1" quotePrefix="1">
      <alignment/>
      <protection/>
    </xf>
    <xf numFmtId="0" fontId="20" fillId="0" borderId="0" xfId="59" applyFont="1" applyBorder="1" applyAlignment="1">
      <alignment/>
      <protection/>
    </xf>
    <xf numFmtId="37" fontId="20" fillId="33" borderId="0" xfId="42" applyNumberFormat="1" applyFont="1" applyFill="1" applyAlignment="1">
      <alignment horizontal="right"/>
    </xf>
    <xf numFmtId="41" fontId="20" fillId="33" borderId="0" xfId="42" applyNumberFormat="1" applyFont="1" applyFill="1" applyAlignment="1">
      <alignment horizontal="right"/>
    </xf>
    <xf numFmtId="37" fontId="20" fillId="0" borderId="0" xfId="0" applyNumberFormat="1" applyFont="1" applyAlignment="1">
      <alignment/>
    </xf>
    <xf numFmtId="37" fontId="11" fillId="0" borderId="0" xfId="0" applyNumberFormat="1" applyFont="1" applyAlignment="1">
      <alignment/>
    </xf>
    <xf numFmtId="165" fontId="20" fillId="0" borderId="14" xfId="42" applyNumberFormat="1" applyFont="1" applyFill="1" applyBorder="1" applyAlignment="1">
      <alignment/>
    </xf>
    <xf numFmtId="0" fontId="30" fillId="0" borderId="20" xfId="59" applyFont="1" applyBorder="1" applyAlignment="1" quotePrefix="1">
      <alignment/>
      <protection/>
    </xf>
    <xf numFmtId="0" fontId="20" fillId="0" borderId="16" xfId="59" applyFont="1" applyBorder="1" applyAlignment="1">
      <alignment/>
      <protection/>
    </xf>
    <xf numFmtId="165" fontId="20" fillId="0" borderId="22" xfId="42" applyNumberFormat="1" applyFont="1" applyFill="1" applyBorder="1" applyAlignment="1">
      <alignment vertical="center"/>
    </xf>
    <xf numFmtId="41" fontId="20" fillId="0" borderId="0" xfId="0" applyNumberFormat="1" applyFont="1" applyBorder="1" applyAlignment="1">
      <alignment/>
    </xf>
    <xf numFmtId="37" fontId="23" fillId="0" borderId="0" xfId="0" applyNumberFormat="1" applyFont="1" applyBorder="1" applyAlignment="1">
      <alignment/>
    </xf>
    <xf numFmtId="41" fontId="19" fillId="0" borderId="0" xfId="0" applyNumberFormat="1" applyFont="1" applyBorder="1" applyAlignment="1">
      <alignment/>
    </xf>
    <xf numFmtId="37" fontId="19" fillId="0" borderId="0" xfId="60" applyNumberFormat="1" applyFont="1" applyBorder="1" applyAlignment="1">
      <alignment horizontal="left" vertical="center"/>
      <protection/>
    </xf>
    <xf numFmtId="37" fontId="19" fillId="0" borderId="0" xfId="0" applyNumberFormat="1" applyFont="1" applyBorder="1" applyAlignment="1">
      <alignment horizontal="left"/>
    </xf>
    <xf numFmtId="41" fontId="20" fillId="0" borderId="0" xfId="0" applyNumberFormat="1" applyFont="1" applyBorder="1" applyAlignment="1">
      <alignment/>
    </xf>
    <xf numFmtId="37" fontId="23" fillId="0" borderId="0" xfId="60" applyNumberFormat="1" applyFont="1" applyBorder="1" applyAlignment="1" quotePrefix="1">
      <alignment horizontal="left"/>
      <protection/>
    </xf>
    <xf numFmtId="37" fontId="23" fillId="0" borderId="0" xfId="42" applyNumberFormat="1" applyFont="1" applyBorder="1" applyAlignment="1">
      <alignment/>
    </xf>
    <xf numFmtId="37" fontId="23" fillId="0" borderId="0" xfId="0" applyNumberFormat="1" applyFont="1" applyBorder="1" applyAlignment="1">
      <alignment/>
    </xf>
    <xf numFmtId="37" fontId="23" fillId="0" borderId="0" xfId="60" applyNumberFormat="1" applyFont="1" applyBorder="1" applyAlignment="1">
      <alignment horizontal="left"/>
      <protection/>
    </xf>
    <xf numFmtId="37" fontId="23" fillId="0" borderId="0" xfId="42" applyNumberFormat="1" applyFont="1" applyBorder="1" applyAlignment="1" quotePrefix="1">
      <alignment/>
    </xf>
    <xf numFmtId="37" fontId="31" fillId="0" borderId="0" xfId="0" applyNumberFormat="1" applyFont="1" applyBorder="1" applyAlignment="1">
      <alignment/>
    </xf>
    <xf numFmtId="37" fontId="19" fillId="0" borderId="0" xfId="0" applyNumberFormat="1" applyFont="1" applyBorder="1" applyAlignment="1">
      <alignment horizontal="left" vertical="center" indent="1"/>
    </xf>
    <xf numFmtId="37" fontId="19" fillId="0" borderId="0" xfId="0" applyNumberFormat="1" applyFont="1" applyBorder="1" applyAlignment="1">
      <alignment horizontal="right" vertical="center"/>
    </xf>
    <xf numFmtId="37" fontId="19" fillId="0" borderId="0" xfId="0" applyNumberFormat="1" applyFont="1" applyBorder="1" applyAlignment="1">
      <alignment horizontal="right"/>
    </xf>
    <xf numFmtId="37" fontId="20" fillId="0" borderId="0" xfId="60" applyNumberFormat="1" applyFont="1" applyBorder="1" applyAlignment="1" quotePrefix="1">
      <alignment horizontal="left"/>
      <protection/>
    </xf>
    <xf numFmtId="37" fontId="20" fillId="0" borderId="0" xfId="0" applyNumberFormat="1" applyFont="1" applyBorder="1" applyAlignment="1">
      <alignment horizontal="left" indent="1"/>
    </xf>
    <xf numFmtId="37" fontId="20" fillId="0" borderId="0" xfId="0" applyNumberFormat="1" applyFont="1" applyBorder="1" applyAlignment="1">
      <alignment horizontal="center" vertical="center" wrapText="1"/>
    </xf>
    <xf numFmtId="37" fontId="20" fillId="0" borderId="0" xfId="0" applyNumberFormat="1" applyFont="1" applyBorder="1" applyAlignment="1">
      <alignment horizontal="center" vertical="center"/>
    </xf>
    <xf numFmtId="37" fontId="19" fillId="0" borderId="0" xfId="0" applyNumberFormat="1" applyFont="1" applyBorder="1" applyAlignment="1" quotePrefix="1">
      <alignment horizontal="left" vertical="center"/>
    </xf>
    <xf numFmtId="37" fontId="19" fillId="0" borderId="0" xfId="42" applyNumberFormat="1" applyFont="1" applyBorder="1" applyAlignment="1">
      <alignment/>
    </xf>
    <xf numFmtId="37" fontId="19" fillId="0" borderId="0" xfId="42" applyNumberFormat="1" applyFont="1" applyBorder="1" applyAlignment="1" quotePrefix="1">
      <alignment horizontal="right"/>
    </xf>
    <xf numFmtId="37" fontId="20" fillId="0" borderId="0" xfId="42" applyNumberFormat="1" applyFont="1" applyBorder="1" applyAlignment="1">
      <alignment/>
    </xf>
    <xf numFmtId="37" fontId="20" fillId="0" borderId="0" xfId="42" applyNumberFormat="1" applyFont="1" applyBorder="1" applyAlignment="1" quotePrefix="1">
      <alignment horizontal="right"/>
    </xf>
    <xf numFmtId="37" fontId="19" fillId="0" borderId="0" xfId="0" applyNumberFormat="1" applyFont="1" applyBorder="1" applyAlignment="1">
      <alignment horizontal="left" vertical="center" indent="2"/>
    </xf>
    <xf numFmtId="37" fontId="20" fillId="0" borderId="0" xfId="0" applyNumberFormat="1" applyFont="1" applyBorder="1" applyAlignment="1">
      <alignment horizontal="right" vertical="center"/>
    </xf>
    <xf numFmtId="37" fontId="20" fillId="0" borderId="0" xfId="60" applyNumberFormat="1" applyFont="1" applyBorder="1" applyAlignment="1" quotePrefix="1">
      <alignment horizontal="left" vertical="center"/>
      <protection/>
    </xf>
    <xf numFmtId="37" fontId="20" fillId="0" borderId="0" xfId="0" applyNumberFormat="1" applyFont="1" applyBorder="1" applyAlignment="1">
      <alignment horizontal="left" vertical="center"/>
    </xf>
    <xf numFmtId="37" fontId="20" fillId="0" borderId="0" xfId="42" applyNumberFormat="1" applyFont="1" applyBorder="1" applyAlignment="1">
      <alignment horizontal="right" vertical="center"/>
    </xf>
    <xf numFmtId="41" fontId="20" fillId="0" borderId="0" xfId="0" applyNumberFormat="1" applyFont="1" applyBorder="1" applyAlignment="1">
      <alignment vertical="center"/>
    </xf>
    <xf numFmtId="37" fontId="20" fillId="0" borderId="0" xfId="0" applyNumberFormat="1" applyFont="1" applyBorder="1" applyAlignment="1" quotePrefix="1">
      <alignment vertical="center"/>
    </xf>
    <xf numFmtId="37" fontId="22" fillId="0" borderId="0" xfId="0" applyNumberFormat="1" applyFont="1" applyBorder="1" applyAlignment="1">
      <alignment horizontal="left" vertical="center"/>
    </xf>
    <xf numFmtId="37" fontId="19" fillId="0" borderId="0" xfId="42" applyNumberFormat="1" applyFont="1" applyBorder="1" applyAlignment="1">
      <alignment vertical="center"/>
    </xf>
    <xf numFmtId="41" fontId="32" fillId="0" borderId="0" xfId="0" applyNumberFormat="1" applyFont="1" applyBorder="1" applyAlignment="1">
      <alignment vertical="center"/>
    </xf>
    <xf numFmtId="37" fontId="19" fillId="0" borderId="0" xfId="42" applyNumberFormat="1" applyFont="1" applyBorder="1" applyAlignment="1">
      <alignment horizontal="right" vertical="center"/>
    </xf>
    <xf numFmtId="37" fontId="19" fillId="0" borderId="0" xfId="0" applyNumberFormat="1" applyFont="1" applyBorder="1" applyAlignment="1">
      <alignment horizontal="justify" vertical="center" wrapText="1"/>
    </xf>
    <xf numFmtId="37" fontId="20" fillId="0" borderId="0" xfId="42" applyNumberFormat="1" applyFont="1" applyBorder="1" applyAlignment="1" quotePrefix="1">
      <alignment horizontal="right" vertical="center"/>
    </xf>
    <xf numFmtId="37" fontId="19" fillId="0" borderId="0" xfId="0" applyNumberFormat="1" applyFont="1" applyBorder="1" applyAlignment="1">
      <alignment horizontal="center" vertical="center"/>
    </xf>
    <xf numFmtId="37" fontId="23" fillId="0" borderId="0" xfId="0" applyNumberFormat="1" applyFont="1" applyBorder="1" applyAlignment="1" quotePrefix="1">
      <alignment horizontal="left" vertical="center" indent="1"/>
    </xf>
    <xf numFmtId="37" fontId="23" fillId="0" borderId="0" xfId="0" applyNumberFormat="1" applyFont="1" applyBorder="1" applyAlignment="1">
      <alignment horizontal="center" vertical="center"/>
    </xf>
    <xf numFmtId="37" fontId="20" fillId="0" borderId="0" xfId="0" applyNumberFormat="1" applyFont="1" applyBorder="1" applyAlignment="1" quotePrefix="1">
      <alignment horizontal="left" vertical="center"/>
    </xf>
    <xf numFmtId="37" fontId="19" fillId="0" borderId="0" xfId="42" applyNumberFormat="1" applyFont="1" applyBorder="1" applyAlignment="1">
      <alignment horizontal="left" vertical="center"/>
    </xf>
    <xf numFmtId="37" fontId="20" fillId="0" borderId="0" xfId="0" applyNumberFormat="1" applyFont="1" applyBorder="1" applyAlignment="1">
      <alignment horizontal="center"/>
    </xf>
    <xf numFmtId="37" fontId="19" fillId="0" borderId="0" xfId="0" applyNumberFormat="1" applyFont="1" applyBorder="1" applyAlignment="1">
      <alignment horizontal="justify" wrapText="1"/>
    </xf>
    <xf numFmtId="37" fontId="20" fillId="0" borderId="0" xfId="42" applyNumberFormat="1" applyFont="1" applyFill="1" applyBorder="1" applyAlignment="1">
      <alignment/>
    </xf>
    <xf numFmtId="37" fontId="24" fillId="0" borderId="0" xfId="42" applyNumberFormat="1" applyFont="1" applyBorder="1" applyAlignment="1">
      <alignment horizontal="right" vertical="center"/>
    </xf>
    <xf numFmtId="37" fontId="19" fillId="0" borderId="0" xfId="0" applyNumberFormat="1" applyFont="1" applyFill="1" applyBorder="1" applyAlignment="1">
      <alignment horizontal="right" vertical="center"/>
    </xf>
    <xf numFmtId="37" fontId="19" fillId="0" borderId="0" xfId="0" applyNumberFormat="1" applyFont="1" applyFill="1" applyBorder="1" applyAlignment="1">
      <alignment horizontal="right"/>
    </xf>
    <xf numFmtId="37" fontId="19" fillId="0" borderId="0" xfId="42" applyNumberFormat="1" applyFont="1" applyFill="1" applyBorder="1" applyAlignment="1">
      <alignment horizontal="right" vertical="center"/>
    </xf>
    <xf numFmtId="37" fontId="20" fillId="0" borderId="0" xfId="0" applyNumberFormat="1" applyFont="1" applyBorder="1" applyAlignment="1">
      <alignment vertical="center"/>
    </xf>
    <xf numFmtId="37" fontId="20" fillId="0" borderId="0" xfId="42" applyNumberFormat="1" applyFont="1" applyBorder="1" applyAlignment="1">
      <alignment vertical="center"/>
    </xf>
    <xf numFmtId="37" fontId="25" fillId="0" borderId="0" xfId="0" applyNumberFormat="1" applyFont="1" applyBorder="1" applyAlignment="1">
      <alignment horizontal="left" vertical="center"/>
    </xf>
    <xf numFmtId="37" fontId="20" fillId="0" borderId="0" xfId="42" applyNumberFormat="1" applyFont="1" applyBorder="1" applyAlignment="1">
      <alignment horizontal="justify" vertical="center" wrapText="1"/>
    </xf>
    <xf numFmtId="41" fontId="20" fillId="0" borderId="0" xfId="0" applyNumberFormat="1" applyFont="1" applyBorder="1" applyAlignment="1">
      <alignment vertical="center" wrapText="1"/>
    </xf>
    <xf numFmtId="37" fontId="20" fillId="0" borderId="0" xfId="0" applyNumberFormat="1" applyFont="1" applyBorder="1" applyAlignment="1" quotePrefix="1">
      <alignment horizontal="left"/>
    </xf>
    <xf numFmtId="37" fontId="19" fillId="0" borderId="0" xfId="42" applyNumberFormat="1" applyFont="1" applyBorder="1" applyAlignment="1" quotePrefix="1">
      <alignment/>
    </xf>
    <xf numFmtId="37" fontId="19" fillId="0" borderId="0" xfId="42" applyNumberFormat="1" applyFont="1" applyBorder="1" applyAlignment="1" quotePrefix="1">
      <alignment horizontal="justify" vertical="center" wrapText="1"/>
    </xf>
    <xf numFmtId="37" fontId="19" fillId="0" borderId="0" xfId="42" applyNumberFormat="1" applyFont="1" applyBorder="1" applyAlignment="1" quotePrefix="1">
      <alignment horizontal="right" vertical="center"/>
    </xf>
    <xf numFmtId="37" fontId="19" fillId="0" borderId="0" xfId="42" applyNumberFormat="1" applyFont="1" applyBorder="1" applyAlignment="1" quotePrefix="1">
      <alignment horizontal="left" vertical="center" wrapText="1"/>
    </xf>
    <xf numFmtId="37" fontId="19" fillId="0" borderId="0" xfId="0" applyNumberFormat="1" applyFont="1" applyBorder="1" applyAlignment="1" quotePrefix="1">
      <alignment/>
    </xf>
    <xf numFmtId="37" fontId="20" fillId="0" borderId="0" xfId="0" applyNumberFormat="1" applyFont="1" applyBorder="1" applyAlignment="1">
      <alignment horizontal="right"/>
    </xf>
    <xf numFmtId="37" fontId="20" fillId="0" borderId="0" xfId="0" applyNumberFormat="1" applyFont="1" applyBorder="1" applyAlignment="1">
      <alignment horizontal="left"/>
    </xf>
    <xf numFmtId="41" fontId="20" fillId="0" borderId="0" xfId="0" applyNumberFormat="1" applyFont="1" applyBorder="1" applyAlignment="1">
      <alignment horizontal="justify" vertical="center" wrapText="1"/>
    </xf>
    <xf numFmtId="37" fontId="19" fillId="33" borderId="0" xfId="0" applyNumberFormat="1" applyFont="1" applyFill="1" applyBorder="1" applyAlignment="1">
      <alignment/>
    </xf>
    <xf numFmtId="37" fontId="20" fillId="33" borderId="0" xfId="42" applyNumberFormat="1" applyFont="1" applyFill="1" applyBorder="1" applyAlignment="1">
      <alignment/>
    </xf>
    <xf numFmtId="37" fontId="19" fillId="33" borderId="0" xfId="42" applyNumberFormat="1" applyFont="1" applyFill="1" applyBorder="1" applyAlignment="1">
      <alignment/>
    </xf>
    <xf numFmtId="37" fontId="19" fillId="0" borderId="0" xfId="0" applyNumberFormat="1" applyFont="1" applyBorder="1" applyAlignment="1">
      <alignment horizontal="center"/>
    </xf>
    <xf numFmtId="37" fontId="20" fillId="0" borderId="0" xfId="57" applyNumberFormat="1" applyFont="1" applyBorder="1" applyAlignment="1">
      <alignment vertical="center"/>
      <protection/>
    </xf>
    <xf numFmtId="37" fontId="19" fillId="0" borderId="0" xfId="57" applyNumberFormat="1" applyFont="1" applyBorder="1" applyAlignment="1">
      <alignment vertical="center"/>
      <protection/>
    </xf>
    <xf numFmtId="37" fontId="19" fillId="0" borderId="0" xfId="57" applyNumberFormat="1" applyFont="1" applyBorder="1" applyAlignment="1">
      <alignment horizontal="center" vertical="center"/>
      <protection/>
    </xf>
    <xf numFmtId="37" fontId="20" fillId="0" borderId="0" xfId="57" applyNumberFormat="1" applyFont="1" applyBorder="1" applyAlignment="1">
      <alignment horizontal="center" vertical="center"/>
      <protection/>
    </xf>
    <xf numFmtId="41" fontId="20" fillId="0" borderId="0" xfId="0" applyNumberFormat="1" applyFont="1" applyAlignment="1">
      <alignment/>
    </xf>
    <xf numFmtId="37" fontId="0" fillId="0" borderId="0" xfId="0" applyNumberFormat="1" applyFont="1" applyAlignment="1">
      <alignment horizontal="center"/>
    </xf>
    <xf numFmtId="37" fontId="0" fillId="0" borderId="0" xfId="42" applyNumberFormat="1" applyFont="1" applyAlignment="1">
      <alignment/>
    </xf>
    <xf numFmtId="41" fontId="11" fillId="0" borderId="0" xfId="0" applyNumberFormat="1" applyFont="1" applyAlignment="1">
      <alignment/>
    </xf>
    <xf numFmtId="0" fontId="20" fillId="0" borderId="15" xfId="0" applyFont="1" applyBorder="1" applyAlignment="1">
      <alignment horizontal="left" vertical="center"/>
    </xf>
    <xf numFmtId="165" fontId="5" fillId="0" borderId="0" xfId="42" applyNumberFormat="1" applyFont="1" applyAlignment="1">
      <alignment/>
    </xf>
    <xf numFmtId="164" fontId="10" fillId="0" borderId="11" xfId="0" applyNumberFormat="1" applyFont="1" applyBorder="1" applyAlignment="1">
      <alignment/>
    </xf>
    <xf numFmtId="41" fontId="10" fillId="0" borderId="0" xfId="56" applyNumberFormat="1" applyFont="1" applyFill="1" applyBorder="1" applyAlignment="1" quotePrefix="1">
      <alignment horizontal="right"/>
      <protection/>
    </xf>
    <xf numFmtId="14" fontId="2" fillId="0" borderId="0" xfId="0" applyNumberFormat="1" applyFont="1" applyAlignment="1">
      <alignment horizontal="center"/>
    </xf>
    <xf numFmtId="37" fontId="20" fillId="0" borderId="10" xfId="0" applyNumberFormat="1" applyFont="1" applyFill="1" applyBorder="1" applyAlignment="1">
      <alignment horizontal="center" vertical="center" wrapText="1"/>
    </xf>
    <xf numFmtId="37" fontId="0" fillId="0" borderId="0" xfId="0" applyNumberFormat="1" applyFont="1" applyBorder="1" applyAlignment="1">
      <alignment/>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36" fillId="0" borderId="0" xfId="0" applyFont="1" applyAlignment="1">
      <alignment/>
    </xf>
    <xf numFmtId="0" fontId="37" fillId="0" borderId="0" xfId="0" applyFont="1" applyAlignment="1">
      <alignment/>
    </xf>
    <xf numFmtId="0" fontId="39" fillId="0" borderId="0" xfId="0" applyFont="1" applyAlignment="1">
      <alignment/>
    </xf>
    <xf numFmtId="0" fontId="37" fillId="0" borderId="0" xfId="0" applyFont="1" applyAlignment="1">
      <alignment/>
    </xf>
    <xf numFmtId="0" fontId="40" fillId="0" borderId="0" xfId="0" applyFont="1" applyBorder="1" applyAlignment="1">
      <alignment horizontal="center"/>
    </xf>
    <xf numFmtId="0" fontId="39" fillId="0" borderId="0" xfId="0" applyFont="1" applyAlignment="1">
      <alignment/>
    </xf>
    <xf numFmtId="0" fontId="36" fillId="0" borderId="0" xfId="0" applyFont="1" applyAlignment="1">
      <alignment/>
    </xf>
    <xf numFmtId="0" fontId="34" fillId="0" borderId="0" xfId="0" applyFont="1" applyAlignment="1">
      <alignment/>
    </xf>
    <xf numFmtId="165" fontId="2" fillId="0" borderId="0" xfId="0" applyNumberFormat="1" applyFont="1" applyAlignment="1">
      <alignment horizontal="center"/>
    </xf>
    <xf numFmtId="165" fontId="6" fillId="0" borderId="0" xfId="42" applyNumberFormat="1" applyFont="1" applyAlignment="1">
      <alignment/>
    </xf>
    <xf numFmtId="0" fontId="2" fillId="0" borderId="0" xfId="0" applyFont="1" applyAlignment="1">
      <alignment horizontal="center" vertical="center"/>
    </xf>
    <xf numFmtId="9" fontId="3" fillId="0" borderId="0" xfId="63" applyFont="1" applyAlignment="1">
      <alignment horizontal="center"/>
    </xf>
    <xf numFmtId="164" fontId="2" fillId="0" borderId="12" xfId="0" applyNumberFormat="1" applyFont="1" applyBorder="1" applyAlignment="1">
      <alignment horizontal="center" vertical="center" wrapText="1"/>
    </xf>
    <xf numFmtId="165" fontId="42" fillId="0" borderId="11" xfId="42" applyNumberFormat="1" applyFont="1" applyBorder="1" applyAlignment="1">
      <alignment/>
    </xf>
    <xf numFmtId="2" fontId="2" fillId="0" borderId="11" xfId="0" applyNumberFormat="1" applyFont="1" applyBorder="1" applyAlignment="1">
      <alignment/>
    </xf>
    <xf numFmtId="2" fontId="2" fillId="0" borderId="12" xfId="0" applyNumberFormat="1" applyFont="1" applyBorder="1" applyAlignment="1">
      <alignment/>
    </xf>
    <xf numFmtId="2" fontId="3" fillId="0" borderId="0" xfId="0" applyNumberFormat="1" applyFont="1" applyAlignment="1">
      <alignment/>
    </xf>
    <xf numFmtId="2" fontId="6" fillId="0" borderId="0" xfId="0" applyNumberFormat="1" applyFont="1" applyAlignment="1">
      <alignment/>
    </xf>
    <xf numFmtId="9" fontId="6" fillId="0" borderId="0" xfId="63" applyFont="1" applyAlignment="1">
      <alignment/>
    </xf>
    <xf numFmtId="0" fontId="2" fillId="0" borderId="0" xfId="0" applyFont="1" applyAlignment="1">
      <alignment horizontal="right"/>
    </xf>
    <xf numFmtId="9" fontId="9" fillId="0" borderId="0" xfId="0" applyNumberFormat="1" applyFont="1" applyAlignment="1">
      <alignment/>
    </xf>
    <xf numFmtId="0" fontId="9" fillId="0" borderId="0" xfId="0" applyFont="1" applyAlignment="1">
      <alignment horizontal="left"/>
    </xf>
    <xf numFmtId="0" fontId="9" fillId="0" borderId="0" xfId="0" applyFont="1" applyAlignment="1" quotePrefix="1">
      <alignment/>
    </xf>
    <xf numFmtId="165" fontId="2" fillId="0" borderId="0" xfId="0" applyNumberFormat="1" applyFont="1" applyAlignment="1">
      <alignment horizontal="center" vertical="center" wrapText="1"/>
    </xf>
    <xf numFmtId="43" fontId="20" fillId="33" borderId="0" xfId="42" applyFont="1" applyFill="1" applyBorder="1" applyAlignment="1">
      <alignment/>
    </xf>
    <xf numFmtId="0" fontId="38" fillId="0" borderId="0" xfId="0" applyFont="1" applyBorder="1" applyAlignment="1">
      <alignment horizontal="center"/>
    </xf>
    <xf numFmtId="0" fontId="38" fillId="0" borderId="0" xfId="0" applyFont="1" applyBorder="1" applyAlignment="1">
      <alignment horizontal="center" vertical="center"/>
    </xf>
    <xf numFmtId="37" fontId="41" fillId="0" borderId="0" xfId="0" applyNumberFormat="1" applyFont="1" applyAlignment="1">
      <alignment horizontal="center" vertical="center" wrapText="1"/>
    </xf>
    <xf numFmtId="37" fontId="38" fillId="0" borderId="0" xfId="0" applyNumberFormat="1" applyFont="1" applyAlignment="1">
      <alignment horizontal="center" vertical="center" wrapText="1"/>
    </xf>
    <xf numFmtId="0" fontId="2" fillId="0" borderId="0" xfId="0" applyFont="1" applyAlignment="1">
      <alignment horizontal="center"/>
    </xf>
    <xf numFmtId="164" fontId="3" fillId="0" borderId="0" xfId="0" applyNumberFormat="1" applyFont="1" applyAlignment="1">
      <alignment horizontal="center"/>
    </xf>
    <xf numFmtId="0" fontId="2" fillId="0" borderId="0" xfId="0" applyFont="1" applyAlignment="1">
      <alignment vertical="center"/>
    </xf>
    <xf numFmtId="0" fontId="3" fillId="0" borderId="0" xfId="0" applyFont="1" applyAlignment="1">
      <alignment horizontal="center"/>
    </xf>
    <xf numFmtId="0" fontId="2" fillId="0" borderId="17" xfId="0" applyFont="1" applyBorder="1" applyAlignment="1">
      <alignment horizontal="center" vertical="center" wrapText="1"/>
    </xf>
    <xf numFmtId="0" fontId="14" fillId="0" borderId="23" xfId="0" applyFont="1" applyBorder="1" applyAlignment="1">
      <alignment horizontal="center" vertical="center" wrapText="1"/>
    </xf>
    <xf numFmtId="164" fontId="2" fillId="0" borderId="17" xfId="0" applyNumberFormat="1" applyFont="1" applyBorder="1" applyAlignment="1">
      <alignment horizontal="center" vertical="center" wrapText="1"/>
    </xf>
    <xf numFmtId="164" fontId="2" fillId="0" borderId="24" xfId="0" applyNumberFormat="1" applyFont="1" applyBorder="1" applyAlignment="1">
      <alignment horizontal="center" vertical="center" wrapText="1"/>
    </xf>
    <xf numFmtId="0" fontId="2" fillId="0" borderId="0" xfId="0" applyFont="1" applyAlignment="1">
      <alignment horizontal="center" vertical="center"/>
    </xf>
    <xf numFmtId="41" fontId="16" fillId="0" borderId="0" xfId="42" applyNumberFormat="1" applyFont="1" applyBorder="1" applyAlignment="1">
      <alignment horizontal="center"/>
    </xf>
    <xf numFmtId="0" fontId="3" fillId="33" borderId="0" xfId="56" applyFont="1" applyFill="1" applyBorder="1" applyAlignment="1">
      <alignment vertical="top" wrapText="1"/>
      <protection/>
    </xf>
    <xf numFmtId="0" fontId="3" fillId="0" borderId="0" xfId="56" applyFont="1" applyBorder="1" applyAlignment="1">
      <alignment vertical="top" wrapText="1"/>
      <protection/>
    </xf>
    <xf numFmtId="0" fontId="2" fillId="33" borderId="0" xfId="56" applyFont="1" applyFill="1" applyBorder="1" applyAlignment="1">
      <alignment horizontal="left"/>
      <protection/>
    </xf>
    <xf numFmtId="0" fontId="3" fillId="33" borderId="0" xfId="56" applyFont="1" applyFill="1" applyBorder="1" applyAlignment="1">
      <alignment wrapText="1"/>
      <protection/>
    </xf>
    <xf numFmtId="0" fontId="3" fillId="0" borderId="0" xfId="56" applyFont="1" applyBorder="1" applyAlignment="1">
      <alignment wrapText="1"/>
      <protection/>
    </xf>
    <xf numFmtId="41" fontId="17" fillId="0" borderId="0" xfId="42" applyNumberFormat="1" applyFont="1" applyBorder="1" applyAlignment="1">
      <alignment horizontal="right"/>
    </xf>
    <xf numFmtId="0" fontId="2" fillId="0" borderId="0" xfId="58" applyFont="1" applyFill="1" applyBorder="1" applyAlignment="1">
      <alignment horizontal="center" vertical="center"/>
      <protection/>
    </xf>
    <xf numFmtId="0" fontId="2" fillId="33" borderId="0" xfId="56" applyFont="1" applyFill="1" applyBorder="1" applyAlignment="1">
      <alignment vertical="justify" wrapText="1"/>
      <protection/>
    </xf>
    <xf numFmtId="0" fontId="3" fillId="0" borderId="0" xfId="56" applyFont="1" applyBorder="1" applyAlignment="1">
      <alignment vertical="justify" wrapText="1"/>
      <protection/>
    </xf>
    <xf numFmtId="0" fontId="3" fillId="33" borderId="0" xfId="56" applyFont="1" applyFill="1" applyBorder="1" applyAlignment="1">
      <alignment vertical="center" wrapText="1"/>
      <protection/>
    </xf>
    <xf numFmtId="0" fontId="3" fillId="0" borderId="0" xfId="56" applyFont="1" applyBorder="1" applyAlignment="1">
      <alignment vertical="center" wrapText="1"/>
      <protection/>
    </xf>
    <xf numFmtId="0" fontId="3" fillId="0" borderId="0" xfId="0" applyFont="1" applyAlignment="1">
      <alignment horizontal="left"/>
    </xf>
    <xf numFmtId="37" fontId="20" fillId="0" borderId="10" xfId="0" applyNumberFormat="1" applyFont="1" applyFill="1" applyBorder="1" applyAlignment="1">
      <alignment horizontal="center"/>
    </xf>
    <xf numFmtId="0" fontId="20" fillId="0" borderId="18" xfId="59" applyFont="1" applyFill="1" applyBorder="1" applyAlignment="1">
      <alignment horizontal="center" vertical="center"/>
      <protection/>
    </xf>
    <xf numFmtId="0" fontId="20" fillId="0" borderId="19" xfId="59" applyFont="1" applyFill="1" applyBorder="1" applyAlignment="1">
      <alignment horizontal="center" vertical="center"/>
      <protection/>
    </xf>
    <xf numFmtId="37" fontId="20" fillId="0" borderId="10" xfId="0" applyNumberFormat="1" applyFont="1" applyFill="1" applyBorder="1" applyAlignment="1">
      <alignment horizontal="center" vertical="center" wrapText="1"/>
    </xf>
    <xf numFmtId="37" fontId="20" fillId="0" borderId="0" xfId="0" applyNumberFormat="1" applyFont="1" applyBorder="1" applyAlignment="1">
      <alignment horizontal="center" vertical="center" wrapText="1"/>
    </xf>
    <xf numFmtId="37" fontId="19" fillId="0" borderId="0" xfId="0" applyNumberFormat="1" applyFont="1" applyBorder="1" applyAlignment="1">
      <alignment horizontal="center" vertical="center" wrapText="1"/>
    </xf>
    <xf numFmtId="0" fontId="20" fillId="0" borderId="17" xfId="59" applyFont="1" applyFill="1" applyBorder="1" applyAlignment="1">
      <alignment horizontal="center" vertical="center"/>
      <protection/>
    </xf>
    <xf numFmtId="37" fontId="20" fillId="0" borderId="10" xfId="0" applyNumberFormat="1" applyFont="1" applyFill="1" applyBorder="1" applyAlignment="1">
      <alignment horizontal="center" vertical="center"/>
    </xf>
    <xf numFmtId="37" fontId="20" fillId="0" borderId="0" xfId="0" applyNumberFormat="1" applyFont="1" applyBorder="1" applyAlignment="1">
      <alignment horizontal="center" vertical="center"/>
    </xf>
    <xf numFmtId="37" fontId="19" fillId="0" borderId="0" xfId="0" applyNumberFormat="1" applyFont="1" applyBorder="1" applyAlignment="1">
      <alignment horizontal="justify" vertical="center" wrapText="1"/>
    </xf>
    <xf numFmtId="37" fontId="20" fillId="0" borderId="0" xfId="0" applyNumberFormat="1" applyFont="1" applyBorder="1" applyAlignment="1">
      <alignment horizontal="center"/>
    </xf>
    <xf numFmtId="37" fontId="19" fillId="0" borderId="0" xfId="0" applyNumberFormat="1" applyFont="1" applyBorder="1" applyAlignment="1" quotePrefix="1">
      <alignment horizontal="left" vertical="center"/>
    </xf>
    <xf numFmtId="37" fontId="20" fillId="0" borderId="0" xfId="42" applyNumberFormat="1" applyFont="1" applyBorder="1" applyAlignment="1">
      <alignment horizontal="justify" vertical="center" wrapText="1"/>
    </xf>
    <xf numFmtId="37" fontId="19" fillId="0" borderId="0" xfId="42" applyNumberFormat="1" applyFont="1" applyBorder="1" applyAlignment="1" quotePrefix="1">
      <alignment horizontal="justify" vertical="center" wrapText="1"/>
    </xf>
    <xf numFmtId="37" fontId="19" fillId="0" borderId="0" xfId="42" applyNumberFormat="1" applyFont="1" applyBorder="1" applyAlignment="1" quotePrefix="1">
      <alignment horizontal="left" vertical="center" wrapText="1"/>
    </xf>
    <xf numFmtId="37" fontId="19" fillId="0" borderId="0" xfId="42" applyNumberFormat="1" applyFont="1" applyBorder="1" applyAlignment="1">
      <alignment horizontal="left" vertical="center" wrapText="1"/>
    </xf>
    <xf numFmtId="37" fontId="23" fillId="0" borderId="0" xfId="0" applyNumberFormat="1" applyFont="1" applyBorder="1" applyAlignment="1">
      <alignment horizontal="justify" vertical="center" wrapText="1"/>
    </xf>
    <xf numFmtId="37" fontId="19" fillId="0" borderId="0" xfId="0" applyNumberFormat="1" applyFont="1" applyBorder="1" applyAlignment="1" quotePrefix="1">
      <alignment horizontal="justify" vertical="center" wrapText="1"/>
    </xf>
    <xf numFmtId="37" fontId="23" fillId="0" borderId="0" xfId="0" applyNumberFormat="1" applyFont="1" applyBorder="1" applyAlignment="1">
      <alignment horizontal="center"/>
    </xf>
    <xf numFmtId="37" fontId="19" fillId="0" borderId="0" xfId="0" applyNumberFormat="1" applyFont="1" applyBorder="1" applyAlignment="1">
      <alignment horizontal="left" vertical="center" wrapText="1"/>
    </xf>
    <xf numFmtId="37" fontId="19" fillId="33" borderId="0" xfId="0" applyNumberFormat="1" applyFont="1" applyFill="1" applyBorder="1" applyAlignment="1">
      <alignment horizontal="justify"/>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uditor's Report HSC 2005-in" xfId="55"/>
    <cellStyle name="Normal_baocaotaichinhvinasun2007" xfId="56"/>
    <cellStyle name="Normal_CDKT" xfId="57"/>
    <cellStyle name="Normal_form" xfId="58"/>
    <cellStyle name="Normal_hopnhatbaocaocampodia09" xfId="59"/>
    <cellStyle name="Normal_thminh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huoc%20Hanh%202009\Kiem%20toan\BCTC%20Hop%20nhat\BCTc.hopnhat.toancty.Gui%20lan%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A"/>
      <sheetName val="MUCLUC"/>
      <sheetName val="BC HDQT"/>
      <sheetName val="BCKT"/>
      <sheetName val="CDKT"/>
      <sheetName val="KQKD"/>
      <sheetName val="lctt.gt"/>
      <sheetName val="TM"/>
      <sheetName val="VON"/>
      <sheetName val="bophan"/>
      <sheetName val="LCTT-TT"/>
      <sheetName val="00000000"/>
    </sheetNames>
    <sheetDataSet>
      <sheetData sheetId="4">
        <row r="9">
          <cell r="G9">
            <v>14133614910</v>
          </cell>
          <cell r="I9">
            <v>10424495737</v>
          </cell>
        </row>
        <row r="33">
          <cell r="J33">
            <v>-547666300</v>
          </cell>
        </row>
        <row r="35">
          <cell r="J35">
            <v>-920501880</v>
          </cell>
        </row>
        <row r="36">
          <cell r="J36">
            <v>-31342872</v>
          </cell>
        </row>
        <row r="38">
          <cell r="J38">
            <v>-31342872</v>
          </cell>
        </row>
        <row r="39">
          <cell r="J39">
            <v>1457710122</v>
          </cell>
        </row>
        <row r="59">
          <cell r="J59">
            <v>43166237034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12"/>
  <sheetViews>
    <sheetView zoomScalePageLayoutView="0" workbookViewId="0" topLeftCell="A7">
      <selection activeCell="C14" sqref="C14"/>
    </sheetView>
  </sheetViews>
  <sheetFormatPr defaultColWidth="9.00390625" defaultRowHeight="12.75"/>
  <cols>
    <col min="1" max="1" width="9.125" style="398" customWidth="1"/>
    <col min="2" max="2" width="9.375" style="398" customWidth="1"/>
    <col min="3" max="3" width="9.125" style="398" customWidth="1"/>
    <col min="4" max="4" width="11.00390625" style="398" customWidth="1"/>
    <col min="5" max="5" width="9.125" style="398" customWidth="1"/>
    <col min="6" max="6" width="3.00390625" style="398" customWidth="1"/>
    <col min="7" max="7" width="9.125" style="398" customWidth="1"/>
    <col min="8" max="8" width="11.875" style="398" customWidth="1"/>
    <col min="9" max="9" width="5.625" style="398" customWidth="1"/>
    <col min="10" max="16384" width="9.125" style="398" customWidth="1"/>
  </cols>
  <sheetData>
    <row r="1" ht="30">
      <c r="A1" s="397" t="s">
        <v>539</v>
      </c>
    </row>
    <row r="2" ht="30">
      <c r="A2" s="399" t="s">
        <v>409</v>
      </c>
    </row>
    <row r="3" ht="30">
      <c r="A3" s="397" t="s">
        <v>410</v>
      </c>
    </row>
    <row r="8" spans="1:10" ht="30" customHeight="1">
      <c r="A8" s="400"/>
      <c r="B8" s="400"/>
      <c r="C8" s="400"/>
      <c r="D8" s="400"/>
      <c r="E8" s="400"/>
      <c r="F8" s="400"/>
      <c r="G8" s="400"/>
      <c r="H8" s="400"/>
      <c r="I8" s="400"/>
      <c r="J8" s="400"/>
    </row>
    <row r="9" spans="1:10" s="402" customFormat="1" ht="32.25" customHeight="1">
      <c r="A9" s="401"/>
      <c r="B9" s="425" t="s">
        <v>412</v>
      </c>
      <c r="C9" s="425"/>
      <c r="D9" s="425"/>
      <c r="E9" s="425"/>
      <c r="F9" s="425"/>
      <c r="G9" s="425"/>
      <c r="H9" s="425"/>
      <c r="I9" s="425"/>
      <c r="J9" s="425"/>
    </row>
    <row r="10" spans="1:10" s="405" customFormat="1" ht="31.5" customHeight="1">
      <c r="A10" s="403"/>
      <c r="B10" s="403"/>
      <c r="C10" s="426" t="s">
        <v>723</v>
      </c>
      <c r="D10" s="426"/>
      <c r="E10" s="426"/>
      <c r="F10" s="426"/>
      <c r="G10" s="426"/>
      <c r="H10" s="426"/>
      <c r="I10" s="426"/>
      <c r="J10" s="404"/>
    </row>
    <row r="11" spans="1:10" s="407" customFormat="1" ht="37.5" customHeight="1">
      <c r="A11" s="406"/>
      <c r="B11" s="427" t="s">
        <v>411</v>
      </c>
      <c r="C11" s="427"/>
      <c r="D11" s="427"/>
      <c r="E11" s="427"/>
      <c r="F11" s="427"/>
      <c r="G11" s="427"/>
      <c r="H11" s="427"/>
      <c r="I11" s="427"/>
      <c r="J11" s="427"/>
    </row>
    <row r="12" spans="1:10" s="407" customFormat="1" ht="24.75" customHeight="1">
      <c r="A12" s="406"/>
      <c r="B12" s="428"/>
      <c r="C12" s="428"/>
      <c r="D12" s="428"/>
      <c r="E12" s="428"/>
      <c r="F12" s="428"/>
      <c r="G12" s="428"/>
      <c r="H12" s="428"/>
      <c r="I12" s="428"/>
      <c r="J12" s="428"/>
    </row>
  </sheetData>
  <sheetProtection/>
  <mergeCells count="4">
    <mergeCell ref="B9:J9"/>
    <mergeCell ref="C10:I10"/>
    <mergeCell ref="B11:J11"/>
    <mergeCell ref="B12:J1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87"/>
  <sheetViews>
    <sheetView tabSelected="1" zoomScalePageLayoutView="0" workbookViewId="0" topLeftCell="A1">
      <selection activeCell="D14" sqref="D14"/>
    </sheetView>
  </sheetViews>
  <sheetFormatPr defaultColWidth="9.00390625" defaultRowHeight="12.75"/>
  <cols>
    <col min="1" max="1" width="4.875" style="10" customWidth="1"/>
    <col min="2" max="2" width="48.875" style="10" customWidth="1"/>
    <col min="3" max="3" width="6.875" style="10" customWidth="1"/>
    <col min="4" max="4" width="4.625" style="10" customWidth="1"/>
    <col min="5" max="5" width="17.625" style="22" customWidth="1"/>
    <col min="6" max="6" width="18.375" style="22" customWidth="1"/>
    <col min="7" max="16384" width="9.125" style="10" customWidth="1"/>
  </cols>
  <sheetData>
    <row r="1" spans="1:7" s="6" customFormat="1" ht="15">
      <c r="A1" s="25" t="s">
        <v>396</v>
      </c>
      <c r="E1" s="43" t="s">
        <v>712</v>
      </c>
      <c r="F1" s="7"/>
      <c r="G1" s="8"/>
    </row>
    <row r="2" spans="1:7" s="6" customFormat="1" ht="14.25" customHeight="1">
      <c r="A2" s="25" t="s">
        <v>510</v>
      </c>
      <c r="G2" s="7"/>
    </row>
    <row r="3" spans="1:7" s="6" customFormat="1" ht="14.25" customHeight="1">
      <c r="A3" s="5"/>
      <c r="E3" s="43"/>
      <c r="G3" s="7"/>
    </row>
    <row r="4" spans="2:7" s="6" customFormat="1" ht="15">
      <c r="B4" s="5"/>
      <c r="C4" s="5"/>
      <c r="D4" s="5"/>
      <c r="E4" s="44"/>
      <c r="F4" s="9"/>
      <c r="G4" s="9"/>
    </row>
    <row r="5" spans="2:6" ht="14.25">
      <c r="B5" s="429" t="s">
        <v>397</v>
      </c>
      <c r="C5" s="429"/>
      <c r="D5" s="429"/>
      <c r="E5" s="429"/>
      <c r="F5" s="429"/>
    </row>
    <row r="6" spans="2:6" ht="14.25">
      <c r="B6" s="431" t="s">
        <v>724</v>
      </c>
      <c r="C6" s="431"/>
      <c r="D6" s="431"/>
      <c r="E6" s="431"/>
      <c r="F6" s="431"/>
    </row>
    <row r="7" spans="2:6" s="12" customFormat="1" ht="15">
      <c r="B7" s="13"/>
      <c r="C7" s="13"/>
      <c r="D7" s="13"/>
      <c r="E7" s="14"/>
      <c r="F7" s="51" t="s">
        <v>398</v>
      </c>
    </row>
    <row r="8" spans="1:6" ht="31.5" customHeight="1">
      <c r="A8" s="1" t="s">
        <v>513</v>
      </c>
      <c r="B8" s="1" t="s">
        <v>514</v>
      </c>
      <c r="C8" s="1" t="s">
        <v>718</v>
      </c>
      <c r="D8" s="1" t="s">
        <v>420</v>
      </c>
      <c r="E8" s="2" t="s">
        <v>725</v>
      </c>
      <c r="F8" s="2" t="s">
        <v>715</v>
      </c>
    </row>
    <row r="9" spans="1:6" ht="19.5" customHeight="1">
      <c r="A9" s="56"/>
      <c r="B9" s="56" t="s">
        <v>338</v>
      </c>
      <c r="C9" s="56"/>
      <c r="D9" s="56"/>
      <c r="E9" s="57"/>
      <c r="F9" s="57"/>
    </row>
    <row r="10" spans="1:6" ht="14.25">
      <c r="A10" s="15" t="s">
        <v>713</v>
      </c>
      <c r="B10" s="16" t="s">
        <v>714</v>
      </c>
      <c r="C10" s="15">
        <v>100</v>
      </c>
      <c r="D10" s="15"/>
      <c r="E10" s="3">
        <f>E11+E13+E14+E18+E20</f>
        <v>169888945400</v>
      </c>
      <c r="F10" s="3">
        <f>F11+F13+F14+F18+F20</f>
        <v>171789942352</v>
      </c>
    </row>
    <row r="11" spans="1:6" s="6" customFormat="1" ht="15">
      <c r="A11" s="15" t="s">
        <v>515</v>
      </c>
      <c r="B11" s="16" t="s">
        <v>716</v>
      </c>
      <c r="C11" s="15">
        <v>110</v>
      </c>
      <c r="D11" s="15"/>
      <c r="E11" s="3">
        <f>SUM(E12)</f>
        <v>2554352351</v>
      </c>
      <c r="F11" s="3">
        <f>SUM(F12)</f>
        <v>14133614910</v>
      </c>
    </row>
    <row r="12" spans="1:6" ht="15">
      <c r="A12" s="17">
        <v>1</v>
      </c>
      <c r="B12" s="18" t="s">
        <v>716</v>
      </c>
      <c r="C12" s="17">
        <v>111</v>
      </c>
      <c r="D12" s="17" t="s">
        <v>720</v>
      </c>
      <c r="E12" s="4">
        <f>1600994952+8124668+945232731</f>
        <v>2554352351</v>
      </c>
      <c r="F12" s="4">
        <v>14133614910</v>
      </c>
    </row>
    <row r="13" spans="1:6" s="6" customFormat="1" ht="15">
      <c r="A13" s="15" t="s">
        <v>516</v>
      </c>
      <c r="B13" s="16" t="s">
        <v>717</v>
      </c>
      <c r="C13" s="15">
        <v>120</v>
      </c>
      <c r="D13" s="15"/>
      <c r="E13" s="3"/>
      <c r="F13" s="3"/>
    </row>
    <row r="14" spans="1:6" ht="14.25">
      <c r="A14" s="15" t="s">
        <v>517</v>
      </c>
      <c r="B14" s="16" t="s">
        <v>721</v>
      </c>
      <c r="C14" s="15">
        <v>130</v>
      </c>
      <c r="D14" s="15"/>
      <c r="E14" s="3">
        <f>SUM(E15:E17)</f>
        <v>75110037536</v>
      </c>
      <c r="F14" s="3">
        <f>SUM(F15:F17)</f>
        <v>78062762453</v>
      </c>
    </row>
    <row r="15" spans="1:6" ht="15">
      <c r="A15" s="17">
        <v>1</v>
      </c>
      <c r="B15" s="18" t="s">
        <v>722</v>
      </c>
      <c r="C15" s="17">
        <v>131</v>
      </c>
      <c r="D15" s="17"/>
      <c r="E15" s="392">
        <f>71828839371+6475076825-13738517721</f>
        <v>64565398475</v>
      </c>
      <c r="F15" s="4">
        <v>73709016593</v>
      </c>
    </row>
    <row r="16" spans="1:6" ht="15">
      <c r="A16" s="17">
        <v>2</v>
      </c>
      <c r="B16" s="18" t="s">
        <v>308</v>
      </c>
      <c r="C16" s="17">
        <v>132</v>
      </c>
      <c r="D16" s="17"/>
      <c r="E16" s="4">
        <f>3311540776+2040301640</f>
        <v>5351842416</v>
      </c>
      <c r="F16" s="4">
        <v>1449990356</v>
      </c>
    </row>
    <row r="17" spans="1:6" ht="15">
      <c r="A17" s="17">
        <v>5</v>
      </c>
      <c r="B17" s="18" t="s">
        <v>500</v>
      </c>
      <c r="C17" s="17">
        <v>135</v>
      </c>
      <c r="D17" s="17" t="s">
        <v>309</v>
      </c>
      <c r="E17" s="4">
        <f>4130279606+8873428+1053643611</f>
        <v>5192796645</v>
      </c>
      <c r="F17" s="4">
        <v>2903755504</v>
      </c>
    </row>
    <row r="18" spans="1:6" ht="14.25">
      <c r="A18" s="15" t="s">
        <v>519</v>
      </c>
      <c r="B18" s="16" t="s">
        <v>310</v>
      </c>
      <c r="C18" s="15">
        <v>140</v>
      </c>
      <c r="D18" s="15" t="s">
        <v>311</v>
      </c>
      <c r="E18" s="3">
        <f>SUM(E19)</f>
        <v>69414834774</v>
      </c>
      <c r="F18" s="3">
        <f>SUM(F19)</f>
        <v>60782705517</v>
      </c>
    </row>
    <row r="19" spans="1:6" ht="15">
      <c r="A19" s="17">
        <v>1</v>
      </c>
      <c r="B19" s="18" t="s">
        <v>310</v>
      </c>
      <c r="C19" s="17">
        <v>141</v>
      </c>
      <c r="D19" s="17"/>
      <c r="E19" s="392">
        <f>65899158966+579906092+2935769716</f>
        <v>69414834774</v>
      </c>
      <c r="F19" s="4">
        <v>60782705517</v>
      </c>
    </row>
    <row r="20" spans="1:6" ht="14.25">
      <c r="A20" s="15" t="s">
        <v>520</v>
      </c>
      <c r="B20" s="16" t="s">
        <v>555</v>
      </c>
      <c r="C20" s="15">
        <v>150</v>
      </c>
      <c r="D20" s="15"/>
      <c r="E20" s="3">
        <f>SUM(E21:E24)</f>
        <v>22809720739</v>
      </c>
      <c r="F20" s="3">
        <f>SUM(F21:F24)</f>
        <v>18810859472</v>
      </c>
    </row>
    <row r="21" spans="1:6" ht="15">
      <c r="A21" s="17">
        <v>1</v>
      </c>
      <c r="B21" s="18" t="s">
        <v>312</v>
      </c>
      <c r="C21" s="17">
        <v>151</v>
      </c>
      <c r="D21" s="17"/>
      <c r="E21" s="4">
        <f>3783269688+46932428</f>
        <v>3830202116</v>
      </c>
      <c r="F21" s="4">
        <v>2401833739</v>
      </c>
    </row>
    <row r="22" spans="1:6" ht="15">
      <c r="A22" s="17">
        <v>2</v>
      </c>
      <c r="B22" s="18" t="s">
        <v>313</v>
      </c>
      <c r="C22" s="17">
        <v>152</v>
      </c>
      <c r="D22" s="17"/>
      <c r="E22" s="4">
        <f>2183153049+68106734</f>
        <v>2251259783</v>
      </c>
      <c r="F22" s="4">
        <v>486894487</v>
      </c>
    </row>
    <row r="23" spans="1:6" ht="15">
      <c r="A23" s="17">
        <v>3</v>
      </c>
      <c r="B23" s="18" t="s">
        <v>399</v>
      </c>
      <c r="C23" s="17">
        <v>154</v>
      </c>
      <c r="D23" s="17"/>
      <c r="E23" s="4">
        <f>751419844</f>
        <v>751419844</v>
      </c>
      <c r="F23" s="4">
        <v>251353</v>
      </c>
    </row>
    <row r="24" spans="1:6" ht="15">
      <c r="A24" s="17">
        <v>4</v>
      </c>
      <c r="B24" s="18" t="s">
        <v>555</v>
      </c>
      <c r="C24" s="17">
        <v>158</v>
      </c>
      <c r="D24" s="17" t="s">
        <v>314</v>
      </c>
      <c r="E24" s="4">
        <f>15316941418+531743084+128154494</f>
        <v>15976838996</v>
      </c>
      <c r="F24" s="4">
        <v>15921879893</v>
      </c>
    </row>
    <row r="25" spans="1:6" s="6" customFormat="1" ht="15">
      <c r="A25" s="15" t="s">
        <v>315</v>
      </c>
      <c r="B25" s="16" t="s">
        <v>316</v>
      </c>
      <c r="C25" s="15">
        <v>200</v>
      </c>
      <c r="D25" s="15"/>
      <c r="E25" s="3">
        <f>E26+E28+E37+E39</f>
        <v>74890013073</v>
      </c>
      <c r="F25" s="3">
        <f>F26+F28+F37+F39</f>
        <v>11830799042</v>
      </c>
    </row>
    <row r="26" spans="1:6" s="6" customFormat="1" ht="15">
      <c r="A26" s="15" t="s">
        <v>515</v>
      </c>
      <c r="B26" s="16" t="s">
        <v>317</v>
      </c>
      <c r="C26" s="15">
        <v>210</v>
      </c>
      <c r="D26" s="15"/>
      <c r="E26" s="3">
        <f>SUM(E27)</f>
        <v>13204399808</v>
      </c>
      <c r="F26" s="3">
        <f>SUM(F27)</f>
        <v>0</v>
      </c>
    </row>
    <row r="27" spans="1:6" ht="15">
      <c r="A27" s="17">
        <v>2</v>
      </c>
      <c r="B27" s="18" t="s">
        <v>318</v>
      </c>
      <c r="C27" s="17">
        <v>212</v>
      </c>
      <c r="D27" s="17" t="s">
        <v>319</v>
      </c>
      <c r="E27" s="392">
        <f>13204399808</f>
        <v>13204399808</v>
      </c>
      <c r="F27" s="4"/>
    </row>
    <row r="28" spans="1:6" s="6" customFormat="1" ht="15">
      <c r="A28" s="15" t="s">
        <v>516</v>
      </c>
      <c r="B28" s="16" t="s">
        <v>320</v>
      </c>
      <c r="C28" s="15">
        <v>220</v>
      </c>
      <c r="D28" s="15"/>
      <c r="E28" s="3">
        <f>E29+E32+E35</f>
        <v>54019910806</v>
      </c>
      <c r="F28" s="3">
        <f>F29+F32+F35</f>
        <v>10620914863</v>
      </c>
    </row>
    <row r="29" spans="1:6" ht="15">
      <c r="A29" s="17">
        <v>1</v>
      </c>
      <c r="B29" s="18" t="s">
        <v>321</v>
      </c>
      <c r="C29" s="17">
        <v>221</v>
      </c>
      <c r="D29" s="17" t="s">
        <v>322</v>
      </c>
      <c r="E29" s="4">
        <f>SUM(E30:E31)</f>
        <v>3786836577</v>
      </c>
      <c r="F29" s="4">
        <f>SUM(F30:F31)</f>
        <v>4443267660</v>
      </c>
    </row>
    <row r="30" spans="1:6" s="55" customFormat="1" ht="15">
      <c r="A30" s="52"/>
      <c r="B30" s="53" t="s">
        <v>323</v>
      </c>
      <c r="C30" s="17">
        <v>222</v>
      </c>
      <c r="D30" s="52"/>
      <c r="E30" s="54">
        <f>7492691474+193378264+226098818</f>
        <v>7912168556</v>
      </c>
      <c r="F30" s="54">
        <v>7891792435</v>
      </c>
    </row>
    <row r="31" spans="1:6" s="55" customFormat="1" ht="15">
      <c r="A31" s="52"/>
      <c r="B31" s="53" t="s">
        <v>570</v>
      </c>
      <c r="C31" s="17">
        <v>223</v>
      </c>
      <c r="D31" s="52"/>
      <c r="E31" s="54">
        <f>-4043451079-81880900</f>
        <v>-4125331979</v>
      </c>
      <c r="F31" s="4">
        <v>-3448524775</v>
      </c>
    </row>
    <row r="32" spans="1:6" ht="15">
      <c r="A32" s="17">
        <v>3</v>
      </c>
      <c r="B32" s="18" t="s">
        <v>324</v>
      </c>
      <c r="C32" s="17">
        <v>227</v>
      </c>
      <c r="D32" s="17" t="s">
        <v>325</v>
      </c>
      <c r="E32" s="4">
        <f>SUM(E33:E34)</f>
        <v>4791560200</v>
      </c>
      <c r="F32" s="4">
        <f>SUM(F33:F34)</f>
        <v>4687804354</v>
      </c>
    </row>
    <row r="33" spans="1:6" ht="15">
      <c r="A33" s="17"/>
      <c r="B33" s="53" t="s">
        <v>323</v>
      </c>
      <c r="C33" s="17">
        <v>228</v>
      </c>
      <c r="D33" s="17"/>
      <c r="E33" s="4">
        <v>5085105621</v>
      </c>
      <c r="F33" s="4">
        <v>4945275621</v>
      </c>
    </row>
    <row r="34" spans="1:6" ht="15">
      <c r="A34" s="17"/>
      <c r="B34" s="53" t="s">
        <v>570</v>
      </c>
      <c r="C34" s="17">
        <v>229</v>
      </c>
      <c r="D34" s="17"/>
      <c r="E34" s="4">
        <f>-293545421</f>
        <v>-293545421</v>
      </c>
      <c r="F34" s="4">
        <v>-257471267</v>
      </c>
    </row>
    <row r="35" spans="1:6" ht="15">
      <c r="A35" s="17">
        <v>4</v>
      </c>
      <c r="B35" s="18" t="s">
        <v>329</v>
      </c>
      <c r="C35" s="17">
        <v>230</v>
      </c>
      <c r="D35" s="17" t="s">
        <v>330</v>
      </c>
      <c r="E35" s="4">
        <f>186695418+43897495876+1357322735</f>
        <v>45441514029</v>
      </c>
      <c r="F35" s="4">
        <v>1489842849</v>
      </c>
    </row>
    <row r="36" spans="1:6" s="6" customFormat="1" ht="15">
      <c r="A36" s="15" t="s">
        <v>517</v>
      </c>
      <c r="B36" s="16" t="s">
        <v>331</v>
      </c>
      <c r="C36" s="15">
        <v>240</v>
      </c>
      <c r="D36" s="15"/>
      <c r="E36" s="3"/>
      <c r="F36" s="3"/>
    </row>
    <row r="37" spans="1:6" s="6" customFormat="1" ht="15">
      <c r="A37" s="15" t="s">
        <v>519</v>
      </c>
      <c r="B37" s="16" t="s">
        <v>332</v>
      </c>
      <c r="C37" s="15">
        <v>250</v>
      </c>
      <c r="D37" s="15"/>
      <c r="E37" s="3">
        <f>SUM(E38)</f>
        <v>70000000</v>
      </c>
      <c r="F37" s="3">
        <f>SUM(F38)</f>
        <v>0</v>
      </c>
    </row>
    <row r="38" spans="1:6" ht="15">
      <c r="A38" s="17">
        <v>1</v>
      </c>
      <c r="B38" s="18" t="s">
        <v>333</v>
      </c>
      <c r="C38" s="17">
        <v>251</v>
      </c>
      <c r="D38" s="17" t="s">
        <v>334</v>
      </c>
      <c r="E38" s="392">
        <v>70000000</v>
      </c>
      <c r="F38" s="4"/>
    </row>
    <row r="39" spans="1:6" s="6" customFormat="1" ht="15">
      <c r="A39" s="15" t="s">
        <v>520</v>
      </c>
      <c r="B39" s="16" t="s">
        <v>335</v>
      </c>
      <c r="C39" s="15">
        <v>260</v>
      </c>
      <c r="D39" s="15"/>
      <c r="E39" s="3">
        <f>SUM(E40:E42)</f>
        <v>7595702459</v>
      </c>
      <c r="F39" s="3">
        <f>SUM(F40:F42)</f>
        <v>1209884179</v>
      </c>
    </row>
    <row r="40" spans="1:6" ht="15">
      <c r="A40" s="17">
        <v>1</v>
      </c>
      <c r="B40" s="18" t="s">
        <v>337</v>
      </c>
      <c r="C40" s="17">
        <v>261</v>
      </c>
      <c r="D40" s="17" t="s">
        <v>336</v>
      </c>
      <c r="E40" s="4">
        <f>28775355</f>
        <v>28775355</v>
      </c>
      <c r="F40" s="4">
        <v>1092691643</v>
      </c>
    </row>
    <row r="41" spans="1:6" ht="15">
      <c r="A41" s="17">
        <v>2</v>
      </c>
      <c r="B41" s="18" t="s">
        <v>400</v>
      </c>
      <c r="C41" s="17">
        <v>262</v>
      </c>
      <c r="D41" s="17" t="s">
        <v>336</v>
      </c>
      <c r="E41" s="4"/>
      <c r="F41" s="4">
        <v>117192536</v>
      </c>
    </row>
    <row r="42" spans="1:6" ht="15">
      <c r="A42" s="17">
        <v>3</v>
      </c>
      <c r="B42" s="18" t="s">
        <v>335</v>
      </c>
      <c r="C42" s="17">
        <v>268</v>
      </c>
      <c r="D42" s="17"/>
      <c r="E42" s="4">
        <f>7560300904+6626200</f>
        <v>7566927104</v>
      </c>
      <c r="F42" s="4"/>
    </row>
    <row r="43" spans="1:6" ht="14.25">
      <c r="A43" s="15"/>
      <c r="B43" s="15" t="s">
        <v>518</v>
      </c>
      <c r="C43" s="15">
        <v>270</v>
      </c>
      <c r="D43" s="15"/>
      <c r="E43" s="3">
        <f>E10+E25</f>
        <v>244778958473</v>
      </c>
      <c r="F43" s="3">
        <f>F10+F25</f>
        <v>183620741394</v>
      </c>
    </row>
    <row r="44" spans="1:6" ht="14.25">
      <c r="A44" s="15"/>
      <c r="B44" s="15"/>
      <c r="C44" s="15"/>
      <c r="D44" s="15"/>
      <c r="E44" s="3"/>
      <c r="F44" s="3"/>
    </row>
    <row r="45" spans="1:6" ht="14.25">
      <c r="A45" s="15"/>
      <c r="B45" s="15" t="s">
        <v>339</v>
      </c>
      <c r="C45" s="15"/>
      <c r="D45" s="15"/>
      <c r="E45" s="3"/>
      <c r="F45" s="3"/>
    </row>
    <row r="46" spans="1:6" s="6" customFormat="1" ht="15">
      <c r="A46" s="15" t="s">
        <v>713</v>
      </c>
      <c r="B46" s="16" t="s">
        <v>340</v>
      </c>
      <c r="C46" s="15">
        <v>300</v>
      </c>
      <c r="D46" s="15"/>
      <c r="E46" s="3">
        <f>E47+E56</f>
        <v>164890913338</v>
      </c>
      <c r="F46" s="3">
        <f>F47+F56</f>
        <v>119832269736</v>
      </c>
    </row>
    <row r="47" spans="1:6" s="6" customFormat="1" ht="15">
      <c r="A47" s="15" t="s">
        <v>515</v>
      </c>
      <c r="B47" s="16" t="s">
        <v>341</v>
      </c>
      <c r="C47" s="15">
        <v>310</v>
      </c>
      <c r="D47" s="15"/>
      <c r="E47" s="3">
        <f>SUM(E48:E55)</f>
        <v>164199275706</v>
      </c>
      <c r="F47" s="3">
        <f>SUM(F48:F55)</f>
        <v>119406314321</v>
      </c>
    </row>
    <row r="48" spans="1:6" ht="15">
      <c r="A48" s="17">
        <v>1</v>
      </c>
      <c r="B48" s="18" t="s">
        <v>342</v>
      </c>
      <c r="C48" s="17">
        <v>311</v>
      </c>
      <c r="D48" s="17" t="s">
        <v>343</v>
      </c>
      <c r="E48" s="4">
        <f>45716315715+17038800000</f>
        <v>62755115715</v>
      </c>
      <c r="F48" s="4">
        <v>58598268875</v>
      </c>
    </row>
    <row r="49" spans="1:6" ht="15">
      <c r="A49" s="17">
        <v>2</v>
      </c>
      <c r="B49" s="18" t="s">
        <v>344</v>
      </c>
      <c r="C49" s="17">
        <v>312</v>
      </c>
      <c r="D49" s="17"/>
      <c r="E49" s="392">
        <f>26071322923+23851684666+11235485628</f>
        <v>61158493217</v>
      </c>
      <c r="F49" s="4">
        <v>21596625075</v>
      </c>
    </row>
    <row r="50" spans="1:6" ht="15">
      <c r="A50" s="17">
        <v>3</v>
      </c>
      <c r="B50" s="18" t="s">
        <v>345</v>
      </c>
      <c r="C50" s="17">
        <v>313</v>
      </c>
      <c r="D50" s="17"/>
      <c r="E50" s="4">
        <f>15266551248+462862410</f>
        <v>15729413658</v>
      </c>
      <c r="F50" s="4">
        <v>5689857964</v>
      </c>
    </row>
    <row r="51" spans="1:6" ht="15">
      <c r="A51" s="17">
        <v>4</v>
      </c>
      <c r="B51" s="18" t="s">
        <v>346</v>
      </c>
      <c r="C51" s="17">
        <v>314</v>
      </c>
      <c r="D51" s="17" t="s">
        <v>347</v>
      </c>
      <c r="E51" s="4">
        <f>6687214463+55857162+351018591</f>
        <v>7094090216</v>
      </c>
      <c r="F51" s="4">
        <v>8524083898</v>
      </c>
    </row>
    <row r="52" spans="1:6" ht="15">
      <c r="A52" s="17">
        <v>5</v>
      </c>
      <c r="B52" s="18" t="s">
        <v>348</v>
      </c>
      <c r="C52" s="17">
        <v>315</v>
      </c>
      <c r="D52" s="17"/>
      <c r="E52" s="4">
        <f>1071700000+156149621+6185463</f>
        <v>1234035084</v>
      </c>
      <c r="F52" s="4">
        <v>1096630860</v>
      </c>
    </row>
    <row r="53" spans="1:6" ht="15">
      <c r="A53" s="17">
        <v>6</v>
      </c>
      <c r="B53" s="18" t="s">
        <v>349</v>
      </c>
      <c r="C53" s="17">
        <v>316</v>
      </c>
      <c r="D53" s="17"/>
      <c r="E53" s="4"/>
      <c r="F53" s="4">
        <v>246964333</v>
      </c>
    </row>
    <row r="54" spans="1:6" ht="15">
      <c r="A54" s="17">
        <v>9</v>
      </c>
      <c r="B54" s="18" t="s">
        <v>350</v>
      </c>
      <c r="C54" s="17">
        <v>319</v>
      </c>
      <c r="D54" s="17" t="s">
        <v>351</v>
      </c>
      <c r="E54" s="4">
        <f>14936252023+179854+273378080</f>
        <v>15209809957</v>
      </c>
      <c r="F54" s="4">
        <v>23653883316</v>
      </c>
    </row>
    <row r="55" spans="1:6" ht="15">
      <c r="A55" s="17">
        <v>11</v>
      </c>
      <c r="B55" s="18" t="s">
        <v>362</v>
      </c>
      <c r="C55" s="17">
        <v>323</v>
      </c>
      <c r="D55" s="17"/>
      <c r="E55" s="4">
        <f>1145870126-21014520-106537747</f>
        <v>1018317859</v>
      </c>
      <c r="F55" s="4"/>
    </row>
    <row r="56" spans="1:6" s="6" customFormat="1" ht="15">
      <c r="A56" s="15" t="s">
        <v>516</v>
      </c>
      <c r="B56" s="16" t="s">
        <v>352</v>
      </c>
      <c r="C56" s="15">
        <v>330</v>
      </c>
      <c r="D56" s="15"/>
      <c r="E56" s="3">
        <f>SUM(E57:E58)</f>
        <v>691637632</v>
      </c>
      <c r="F56" s="3">
        <f>SUM(F57:F58)</f>
        <v>425955415</v>
      </c>
    </row>
    <row r="57" spans="1:6" ht="15">
      <c r="A57" s="17">
        <v>6</v>
      </c>
      <c r="B57" s="18" t="s">
        <v>353</v>
      </c>
      <c r="C57" s="17">
        <v>336</v>
      </c>
      <c r="D57" s="17"/>
      <c r="E57" s="4">
        <f>391843732+2508490</f>
        <v>394352222</v>
      </c>
      <c r="F57" s="4">
        <v>425955415</v>
      </c>
    </row>
    <row r="58" spans="1:6" ht="15">
      <c r="A58" s="17">
        <v>8</v>
      </c>
      <c r="B58" s="18" t="s">
        <v>499</v>
      </c>
      <c r="C58" s="17">
        <v>338</v>
      </c>
      <c r="D58" s="17"/>
      <c r="E58" s="4">
        <f>297285410</f>
        <v>297285410</v>
      </c>
      <c r="F58" s="4"/>
    </row>
    <row r="59" spans="1:6" s="6" customFormat="1" ht="15">
      <c r="A59" s="15" t="s">
        <v>315</v>
      </c>
      <c r="B59" s="16" t="s">
        <v>354</v>
      </c>
      <c r="C59" s="15">
        <v>400</v>
      </c>
      <c r="D59" s="15"/>
      <c r="E59" s="3">
        <f>E60+E69</f>
        <v>79888045135</v>
      </c>
      <c r="F59" s="3">
        <f>F60+F69</f>
        <v>63788471658</v>
      </c>
    </row>
    <row r="60" spans="1:6" s="6" customFormat="1" ht="15">
      <c r="A60" s="15" t="s">
        <v>515</v>
      </c>
      <c r="B60" s="16" t="s">
        <v>355</v>
      </c>
      <c r="C60" s="15">
        <v>410</v>
      </c>
      <c r="D60" s="15" t="s">
        <v>356</v>
      </c>
      <c r="E60" s="3">
        <f>SUM(E61:E68)</f>
        <v>79888045135</v>
      </c>
      <c r="F60" s="3">
        <f>SUM(F61:F68)</f>
        <v>62154558521</v>
      </c>
    </row>
    <row r="61" spans="1:6" ht="15">
      <c r="A61" s="17">
        <v>1</v>
      </c>
      <c r="B61" s="18" t="s">
        <v>582</v>
      </c>
      <c r="C61" s="17">
        <v>411</v>
      </c>
      <c r="D61" s="17"/>
      <c r="E61" s="4">
        <f>31079800000</f>
        <v>31079800000</v>
      </c>
      <c r="F61" s="4">
        <v>25000000000</v>
      </c>
    </row>
    <row r="62" spans="1:6" ht="15">
      <c r="A62" s="17">
        <v>2</v>
      </c>
      <c r="B62" s="18" t="s">
        <v>605</v>
      </c>
      <c r="C62" s="17">
        <v>412</v>
      </c>
      <c r="D62" s="17"/>
      <c r="E62" s="4">
        <f>16240748000</f>
        <v>16240748000</v>
      </c>
      <c r="F62" s="4">
        <v>6886448000</v>
      </c>
    </row>
    <row r="63" spans="1:6" ht="15">
      <c r="A63" s="17">
        <v>3</v>
      </c>
      <c r="B63" s="18" t="s">
        <v>357</v>
      </c>
      <c r="C63" s="17">
        <v>413</v>
      </c>
      <c r="D63" s="17"/>
      <c r="E63" s="4"/>
      <c r="F63" s="4"/>
    </row>
    <row r="64" spans="1:6" ht="15">
      <c r="A64" s="17">
        <v>4</v>
      </c>
      <c r="B64" s="18" t="s">
        <v>358</v>
      </c>
      <c r="C64" s="17">
        <v>414</v>
      </c>
      <c r="D64" s="17"/>
      <c r="E64" s="4"/>
      <c r="F64" s="4">
        <v>-314300000</v>
      </c>
    </row>
    <row r="65" spans="1:6" ht="15">
      <c r="A65" s="17">
        <v>6</v>
      </c>
      <c r="B65" s="18" t="s">
        <v>359</v>
      </c>
      <c r="C65" s="17">
        <v>416</v>
      </c>
      <c r="D65" s="17"/>
      <c r="E65" s="4">
        <f>1337356</f>
        <v>1337356</v>
      </c>
      <c r="F65" s="4">
        <v>536483756</v>
      </c>
    </row>
    <row r="66" spans="1:6" ht="15">
      <c r="A66" s="17">
        <v>7</v>
      </c>
      <c r="B66" s="18" t="s">
        <v>606</v>
      </c>
      <c r="C66" s="17">
        <v>417</v>
      </c>
      <c r="D66" s="17"/>
      <c r="E66" s="4">
        <f>4686694386+25085468</f>
        <v>4711779854</v>
      </c>
      <c r="F66" s="4">
        <v>4710466749</v>
      </c>
    </row>
    <row r="67" spans="1:6" ht="15">
      <c r="A67" s="17">
        <v>8</v>
      </c>
      <c r="B67" s="18" t="s">
        <v>607</v>
      </c>
      <c r="C67" s="17">
        <v>418</v>
      </c>
      <c r="D67" s="17"/>
      <c r="E67" s="4">
        <f>2614946955+12542450</f>
        <v>2627489405</v>
      </c>
      <c r="F67" s="4">
        <v>2626832868</v>
      </c>
    </row>
    <row r="68" spans="1:6" ht="15">
      <c r="A68" s="17">
        <v>10</v>
      </c>
      <c r="B68" s="18" t="s">
        <v>360</v>
      </c>
      <c r="C68" s="17">
        <v>420</v>
      </c>
      <c r="D68" s="17"/>
      <c r="E68" s="4">
        <f>24627009275+599881245</f>
        <v>25226890520</v>
      </c>
      <c r="F68" s="4">
        <v>22708627148</v>
      </c>
    </row>
    <row r="69" spans="1:6" s="6" customFormat="1" ht="15">
      <c r="A69" s="15" t="s">
        <v>516</v>
      </c>
      <c r="B69" s="16" t="s">
        <v>361</v>
      </c>
      <c r="C69" s="15">
        <v>430</v>
      </c>
      <c r="D69" s="15"/>
      <c r="E69" s="3">
        <f>SUM(E70)</f>
        <v>0</v>
      </c>
      <c r="F69" s="3">
        <f>SUM(F70)</f>
        <v>1633913137</v>
      </c>
    </row>
    <row r="70" spans="1:6" ht="15">
      <c r="A70" s="17">
        <v>1</v>
      </c>
      <c r="B70" s="18" t="s">
        <v>362</v>
      </c>
      <c r="C70" s="17">
        <v>431</v>
      </c>
      <c r="D70" s="17"/>
      <c r="E70" s="4"/>
      <c r="F70" s="4">
        <v>1633913137</v>
      </c>
    </row>
    <row r="71" spans="1:6" ht="14.25">
      <c r="A71" s="19"/>
      <c r="B71" s="19" t="s">
        <v>521</v>
      </c>
      <c r="C71" s="19">
        <v>440</v>
      </c>
      <c r="D71" s="19"/>
      <c r="E71" s="20">
        <f>E46+E59</f>
        <v>244778958473</v>
      </c>
      <c r="F71" s="20">
        <f>F46+F59</f>
        <v>183620741394</v>
      </c>
    </row>
    <row r="72" spans="1:5" ht="15">
      <c r="A72" s="21"/>
      <c r="E72" s="22">
        <f>E71-E43</f>
        <v>0</v>
      </c>
    </row>
    <row r="73" spans="1:11" ht="15">
      <c r="A73" s="21"/>
      <c r="B73" s="11" t="s">
        <v>326</v>
      </c>
      <c r="C73" s="11"/>
      <c r="D73" s="11"/>
      <c r="E73" s="23"/>
      <c r="F73" s="23"/>
      <c r="G73" s="21"/>
      <c r="H73" s="21"/>
      <c r="I73" s="21"/>
      <c r="J73" s="21"/>
      <c r="K73" s="21"/>
    </row>
    <row r="74" spans="1:11" ht="15">
      <c r="A74" s="21"/>
      <c r="B74" s="21"/>
      <c r="C74" s="21"/>
      <c r="D74" s="21"/>
      <c r="E74" s="23"/>
      <c r="F74" s="23"/>
      <c r="G74" s="21"/>
      <c r="H74" s="21"/>
      <c r="I74" s="21"/>
      <c r="J74" s="21"/>
      <c r="K74" s="21"/>
    </row>
    <row r="75" spans="1:11" ht="15">
      <c r="A75" s="21"/>
      <c r="B75" s="21" t="s">
        <v>614</v>
      </c>
      <c r="C75" s="21"/>
      <c r="D75" s="21"/>
      <c r="E75" s="430" t="s">
        <v>413</v>
      </c>
      <c r="F75" s="430"/>
      <c r="G75" s="430"/>
      <c r="H75" s="21"/>
      <c r="I75" s="21"/>
      <c r="J75" s="21"/>
      <c r="K75" s="21"/>
    </row>
    <row r="76" spans="1:6" ht="15">
      <c r="A76" s="21"/>
      <c r="F76" s="11"/>
    </row>
    <row r="77" spans="1:6" ht="15">
      <c r="A77" s="21"/>
      <c r="B77" s="24"/>
      <c r="C77" s="24"/>
      <c r="D77" s="24"/>
      <c r="F77" s="11"/>
    </row>
    <row r="78" ht="15">
      <c r="A78" s="21"/>
    </row>
    <row r="79" ht="15">
      <c r="A79" s="21"/>
    </row>
    <row r="80" spans="1:6" ht="15">
      <c r="A80" s="21"/>
      <c r="B80" s="21" t="s">
        <v>522</v>
      </c>
      <c r="C80" s="21"/>
      <c r="D80" s="21"/>
      <c r="E80" s="432" t="s">
        <v>414</v>
      </c>
      <c r="F80" s="432"/>
    </row>
    <row r="81" ht="15">
      <c r="A81" s="21"/>
    </row>
    <row r="82" ht="15">
      <c r="A82" s="21"/>
    </row>
    <row r="83" ht="15">
      <c r="A83" s="21"/>
    </row>
    <row r="84" ht="15">
      <c r="A84" s="21"/>
    </row>
    <row r="85" ht="15">
      <c r="A85" s="21"/>
    </row>
    <row r="86" ht="15">
      <c r="A86" s="21"/>
    </row>
    <row r="87" ht="15">
      <c r="A87" s="21"/>
    </row>
  </sheetData>
  <sheetProtection/>
  <mergeCells count="4">
    <mergeCell ref="B5:F5"/>
    <mergeCell ref="E75:G75"/>
    <mergeCell ref="B6:F6"/>
    <mergeCell ref="E80:F80"/>
  </mergeCells>
  <printOptions/>
  <pageMargins left="0.36" right="0.43" top="0.8" bottom="0.69" header="0.47" footer="0.37"/>
  <pageSetup horizontalDpi="600" verticalDpi="600" orientation="portrait" paperSize="9"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I43"/>
  <sheetViews>
    <sheetView zoomScalePageLayoutView="0" workbookViewId="0" topLeftCell="C4">
      <selection activeCell="E26" sqref="E26"/>
    </sheetView>
  </sheetViews>
  <sheetFormatPr defaultColWidth="9.00390625" defaultRowHeight="12.75"/>
  <cols>
    <col min="1" max="1" width="6.125" style="10" customWidth="1"/>
    <col min="2" max="2" width="57.625" style="10" customWidth="1"/>
    <col min="3" max="3" width="5.875" style="10" customWidth="1"/>
    <col min="4" max="4" width="8.25390625" style="22" customWidth="1"/>
    <col min="5" max="5" width="18.75390625" style="22" customWidth="1"/>
    <col min="6" max="6" width="17.375" style="10" customWidth="1"/>
    <col min="7" max="7" width="19.25390625" style="10" customWidth="1"/>
    <col min="8" max="8" width="20.75390625" style="10" customWidth="1"/>
    <col min="9" max="9" width="12.625" style="10" bestFit="1" customWidth="1"/>
    <col min="10" max="16384" width="9.125" style="10" customWidth="1"/>
  </cols>
  <sheetData>
    <row r="1" spans="1:8" s="6" customFormat="1" ht="14.25" customHeight="1">
      <c r="A1" s="25" t="s">
        <v>733</v>
      </c>
      <c r="E1" s="43" t="s">
        <v>363</v>
      </c>
      <c r="F1" s="25"/>
      <c r="G1" s="25"/>
      <c r="H1" s="25"/>
    </row>
    <row r="2" spans="1:8" s="6" customFormat="1" ht="15">
      <c r="A2" s="25" t="s">
        <v>727</v>
      </c>
      <c r="D2" s="43"/>
      <c r="E2" s="43"/>
      <c r="F2" s="25"/>
      <c r="G2" s="25"/>
      <c r="H2" s="25"/>
    </row>
    <row r="3" spans="2:8" s="6" customFormat="1" ht="15">
      <c r="B3" s="25"/>
      <c r="C3" s="25"/>
      <c r="D3" s="43"/>
      <c r="E3" s="43"/>
      <c r="F3" s="25"/>
      <c r="G3" s="25"/>
      <c r="H3" s="25"/>
    </row>
    <row r="4" spans="2:8" s="6" customFormat="1" ht="15">
      <c r="B4" s="429" t="s">
        <v>401</v>
      </c>
      <c r="C4" s="429"/>
      <c r="D4" s="429"/>
      <c r="E4" s="429"/>
      <c r="F4" s="429"/>
      <c r="G4" s="429"/>
      <c r="H4" s="429"/>
    </row>
    <row r="5" spans="2:8" s="6" customFormat="1" ht="18" customHeight="1">
      <c r="B5" s="437" t="s">
        <v>726</v>
      </c>
      <c r="C5" s="437"/>
      <c r="D5" s="437"/>
      <c r="E5" s="437"/>
      <c r="F5" s="437"/>
      <c r="G5" s="437"/>
      <c r="H5" s="437"/>
    </row>
    <row r="6" spans="2:8" ht="15">
      <c r="B6" s="21"/>
      <c r="C6" s="21"/>
      <c r="D6" s="13"/>
      <c r="E6" s="34"/>
      <c r="F6" s="21"/>
      <c r="G6" s="21"/>
      <c r="H6" s="13" t="s">
        <v>512</v>
      </c>
    </row>
    <row r="7" spans="1:8" s="6" customFormat="1" ht="23.25" customHeight="1">
      <c r="A7" s="433" t="s">
        <v>513</v>
      </c>
      <c r="B7" s="433" t="s">
        <v>511</v>
      </c>
      <c r="C7" s="435" t="s">
        <v>718</v>
      </c>
      <c r="D7" s="435" t="s">
        <v>719</v>
      </c>
      <c r="E7" s="436" t="s">
        <v>728</v>
      </c>
      <c r="F7" s="436"/>
      <c r="G7" s="436" t="s">
        <v>729</v>
      </c>
      <c r="H7" s="436"/>
    </row>
    <row r="8" spans="1:8" s="6" customFormat="1" ht="19.5" customHeight="1">
      <c r="A8" s="434"/>
      <c r="B8" s="434"/>
      <c r="C8" s="434"/>
      <c r="D8" s="434"/>
      <c r="E8" s="412" t="s">
        <v>407</v>
      </c>
      <c r="F8" s="412" t="s">
        <v>375</v>
      </c>
      <c r="G8" s="412" t="s">
        <v>407</v>
      </c>
      <c r="H8" s="412" t="s">
        <v>375</v>
      </c>
    </row>
    <row r="9" spans="1:8" s="6" customFormat="1" ht="15">
      <c r="A9" s="27">
        <v>1</v>
      </c>
      <c r="B9" s="28" t="s">
        <v>523</v>
      </c>
      <c r="C9" s="61">
        <v>1</v>
      </c>
      <c r="D9" s="58" t="s">
        <v>364</v>
      </c>
      <c r="E9" s="49">
        <f>65250274643+4648733668</f>
        <v>69899008311</v>
      </c>
      <c r="F9" s="49">
        <v>54762247230</v>
      </c>
      <c r="G9" s="49">
        <f>46171814273+E9</f>
        <v>116070822584</v>
      </c>
      <c r="H9" s="49">
        <v>114910670326</v>
      </c>
    </row>
    <row r="10" spans="1:8" ht="15">
      <c r="A10" s="29">
        <v>2</v>
      </c>
      <c r="B10" s="18" t="s">
        <v>524</v>
      </c>
      <c r="C10" s="62">
        <v>2</v>
      </c>
      <c r="D10" s="59" t="s">
        <v>365</v>
      </c>
      <c r="E10" s="50">
        <v>826214445</v>
      </c>
      <c r="F10" s="50"/>
      <c r="G10" s="50">
        <f>37123234+E10</f>
        <v>863337679</v>
      </c>
      <c r="H10" s="50">
        <v>56022000</v>
      </c>
    </row>
    <row r="11" spans="1:8" s="6" customFormat="1" ht="15">
      <c r="A11" s="30">
        <v>3</v>
      </c>
      <c r="B11" s="16" t="s">
        <v>525</v>
      </c>
      <c r="C11" s="63">
        <v>10</v>
      </c>
      <c r="D11" s="60" t="s">
        <v>366</v>
      </c>
      <c r="E11" s="48">
        <f>E9-E10</f>
        <v>69072793866</v>
      </c>
      <c r="F11" s="48">
        <f>F9-F10</f>
        <v>54762247230</v>
      </c>
      <c r="G11" s="48">
        <f>G9-G10</f>
        <v>115207484905</v>
      </c>
      <c r="H11" s="48">
        <f>H9-H10</f>
        <v>114854648326</v>
      </c>
    </row>
    <row r="12" spans="1:8" ht="15">
      <c r="A12" s="29">
        <v>4</v>
      </c>
      <c r="B12" s="18" t="s">
        <v>526</v>
      </c>
      <c r="C12" s="62">
        <v>11</v>
      </c>
      <c r="D12" s="59" t="s">
        <v>367</v>
      </c>
      <c r="E12" s="50">
        <f>42495682471+3321177148</f>
        <v>45816859619</v>
      </c>
      <c r="F12" s="50">
        <v>35984113543</v>
      </c>
      <c r="G12" s="50">
        <f>28046855638+E12</f>
        <v>73863715257</v>
      </c>
      <c r="H12" s="50">
        <v>76858219312</v>
      </c>
    </row>
    <row r="13" spans="1:8" s="6" customFormat="1" ht="15">
      <c r="A13" s="30">
        <v>5</v>
      </c>
      <c r="B13" s="16" t="s">
        <v>527</v>
      </c>
      <c r="C13" s="63">
        <v>20</v>
      </c>
      <c r="D13" s="60" t="s">
        <v>368</v>
      </c>
      <c r="E13" s="48">
        <f>E11-E12</f>
        <v>23255934247</v>
      </c>
      <c r="F13" s="48">
        <f>F11-F12</f>
        <v>18778133687</v>
      </c>
      <c r="G13" s="48">
        <f>G11-G12</f>
        <v>41343769648</v>
      </c>
      <c r="H13" s="48">
        <f>H11-H12</f>
        <v>37996429014</v>
      </c>
    </row>
    <row r="14" spans="1:8" s="6" customFormat="1" ht="15">
      <c r="A14" s="30">
        <v>6</v>
      </c>
      <c r="B14" s="16" t="s">
        <v>528</v>
      </c>
      <c r="C14" s="63">
        <v>21</v>
      </c>
      <c r="D14" s="60" t="s">
        <v>369</v>
      </c>
      <c r="E14" s="48">
        <f>11722164+42008593</f>
        <v>53730757</v>
      </c>
      <c r="F14" s="48">
        <v>10386705</v>
      </c>
      <c r="G14" s="48">
        <f>418747520+E14</f>
        <v>472478277</v>
      </c>
      <c r="H14" s="48">
        <v>78822200</v>
      </c>
    </row>
    <row r="15" spans="1:8" ht="15">
      <c r="A15" s="29">
        <v>7</v>
      </c>
      <c r="B15" s="18" t="s">
        <v>529</v>
      </c>
      <c r="C15" s="62">
        <v>22</v>
      </c>
      <c r="D15" s="59" t="s">
        <v>370</v>
      </c>
      <c r="E15" s="50">
        <v>2800846041</v>
      </c>
      <c r="F15" s="50">
        <f>F16</f>
        <v>773223014</v>
      </c>
      <c r="G15" s="50">
        <f>4572873376+E15</f>
        <v>7373719417</v>
      </c>
      <c r="H15" s="50">
        <v>1592722205</v>
      </c>
    </row>
    <row r="16" spans="1:8" s="55" customFormat="1" ht="15">
      <c r="A16" s="64"/>
      <c r="B16" s="53" t="s">
        <v>371</v>
      </c>
      <c r="C16" s="65">
        <v>23</v>
      </c>
      <c r="D16" s="66"/>
      <c r="E16" s="67">
        <v>2113615902</v>
      </c>
      <c r="F16" s="67">
        <v>773223014</v>
      </c>
      <c r="G16" s="67">
        <f>3323662136+E16</f>
        <v>5437278038</v>
      </c>
      <c r="H16" s="67">
        <f>H15</f>
        <v>1592722205</v>
      </c>
    </row>
    <row r="17" spans="1:8" s="6" customFormat="1" ht="15">
      <c r="A17" s="30">
        <v>8</v>
      </c>
      <c r="B17" s="16" t="s">
        <v>530</v>
      </c>
      <c r="C17" s="63">
        <v>24</v>
      </c>
      <c r="D17" s="60"/>
      <c r="E17" s="48">
        <f>16254695681+835929018</f>
        <v>17090624699</v>
      </c>
      <c r="F17" s="48">
        <v>7952936291</v>
      </c>
      <c r="G17" s="48">
        <f>12479280693+E17</f>
        <v>29569905392</v>
      </c>
      <c r="H17" s="48">
        <v>16091988644</v>
      </c>
    </row>
    <row r="18" spans="1:8" s="6" customFormat="1" ht="15">
      <c r="A18" s="30">
        <v>9</v>
      </c>
      <c r="B18" s="16" t="s">
        <v>531</v>
      </c>
      <c r="C18" s="63">
        <v>25</v>
      </c>
      <c r="D18" s="60"/>
      <c r="E18" s="48">
        <f>2231431246+121750177</f>
        <v>2353181423</v>
      </c>
      <c r="F18" s="48">
        <v>1470644494</v>
      </c>
      <c r="G18" s="48">
        <f>4168393536+E18</f>
        <v>6521574959</v>
      </c>
      <c r="H18" s="48">
        <v>4135618981</v>
      </c>
    </row>
    <row r="19" spans="1:8" s="6" customFormat="1" ht="15">
      <c r="A19" s="30">
        <v>10</v>
      </c>
      <c r="B19" s="16" t="s">
        <v>532</v>
      </c>
      <c r="C19" s="63">
        <v>30</v>
      </c>
      <c r="D19" s="60"/>
      <c r="E19" s="48">
        <f>E13+E14-E15-E17-E18</f>
        <v>1065012841</v>
      </c>
      <c r="F19" s="48">
        <f>F13+F14-F15-F17-F18</f>
        <v>8591716593</v>
      </c>
      <c r="G19" s="48">
        <f>G13+G14-G15-G17-G18</f>
        <v>-1648951843</v>
      </c>
      <c r="H19" s="48">
        <f>H13+H14-H15-H17-H18</f>
        <v>16254921384</v>
      </c>
    </row>
    <row r="20" spans="1:8" s="6" customFormat="1" ht="15">
      <c r="A20" s="29">
        <v>11</v>
      </c>
      <c r="B20" s="18" t="s">
        <v>533</v>
      </c>
      <c r="C20" s="62">
        <v>31</v>
      </c>
      <c r="D20" s="60"/>
      <c r="E20" s="48">
        <f>258513571+7177878</f>
        <v>265691449</v>
      </c>
      <c r="F20" s="48">
        <v>98564086</v>
      </c>
      <c r="G20" s="48">
        <f>293926392+E20</f>
        <v>559617841</v>
      </c>
      <c r="H20" s="48">
        <v>211958802</v>
      </c>
    </row>
    <row r="21" spans="1:8" s="6" customFormat="1" ht="15">
      <c r="A21" s="29">
        <v>12</v>
      </c>
      <c r="B21" s="18" t="s">
        <v>534</v>
      </c>
      <c r="C21" s="62">
        <v>32</v>
      </c>
      <c r="D21" s="60"/>
      <c r="E21" s="48">
        <f>192482873+0</f>
        <v>192482873</v>
      </c>
      <c r="F21" s="48">
        <v>1903647117</v>
      </c>
      <c r="G21" s="48">
        <f>176118960+E21</f>
        <v>368601833</v>
      </c>
      <c r="H21" s="48">
        <v>3919065457</v>
      </c>
    </row>
    <row r="22" spans="1:8" s="6" customFormat="1" ht="15">
      <c r="A22" s="30">
        <v>13</v>
      </c>
      <c r="B22" s="16" t="s">
        <v>535</v>
      </c>
      <c r="C22" s="63">
        <v>40</v>
      </c>
      <c r="D22" s="60"/>
      <c r="E22" s="48">
        <f>E20-E21</f>
        <v>73208576</v>
      </c>
      <c r="F22" s="48">
        <f>F20-F21</f>
        <v>-1805083031</v>
      </c>
      <c r="G22" s="48">
        <f>G20-G21</f>
        <v>191016008</v>
      </c>
      <c r="H22" s="48">
        <f>H20-H21</f>
        <v>-3707106655</v>
      </c>
    </row>
    <row r="23" spans="1:9" s="6" customFormat="1" ht="15">
      <c r="A23" s="30">
        <v>14</v>
      </c>
      <c r="B23" s="16" t="s">
        <v>536</v>
      </c>
      <c r="C23" s="63">
        <v>50</v>
      </c>
      <c r="D23" s="60"/>
      <c r="E23" s="413">
        <f>E19+E22</f>
        <v>1138221417</v>
      </c>
      <c r="F23" s="48">
        <f>F19+F22</f>
        <v>6786633562</v>
      </c>
      <c r="G23" s="413">
        <f>G19+G22</f>
        <v>-1457935835</v>
      </c>
      <c r="H23" s="48">
        <f>H19+H22</f>
        <v>12547814729</v>
      </c>
      <c r="I23" s="391"/>
    </row>
    <row r="24" spans="1:8" ht="15">
      <c r="A24" s="29">
        <v>15</v>
      </c>
      <c r="B24" s="18" t="s">
        <v>372</v>
      </c>
      <c r="C24" s="62">
        <v>51</v>
      </c>
      <c r="D24" s="59" t="s">
        <v>373</v>
      </c>
      <c r="E24" s="50"/>
      <c r="F24" s="50">
        <f>F23*7.5%</f>
        <v>508997517.15</v>
      </c>
      <c r="G24" s="50"/>
      <c r="H24" s="50">
        <f>H23*7.5%</f>
        <v>941086104.675</v>
      </c>
    </row>
    <row r="25" spans="1:8" ht="15">
      <c r="A25" s="29">
        <v>16</v>
      </c>
      <c r="B25" s="18" t="s">
        <v>374</v>
      </c>
      <c r="C25" s="62">
        <v>52</v>
      </c>
      <c r="D25" s="59"/>
      <c r="E25" s="50"/>
      <c r="F25" s="50"/>
      <c r="G25" s="50"/>
      <c r="H25" s="50"/>
    </row>
    <row r="26" spans="1:8" s="6" customFormat="1" ht="15">
      <c r="A26" s="30">
        <v>17</v>
      </c>
      <c r="B26" s="16" t="s">
        <v>537</v>
      </c>
      <c r="C26" s="63">
        <v>60</v>
      </c>
      <c r="D26" s="60"/>
      <c r="E26" s="48"/>
      <c r="F26" s="48">
        <f>F23-F24</f>
        <v>6277636044.85</v>
      </c>
      <c r="G26" s="414"/>
      <c r="H26" s="48">
        <f>H23-H24</f>
        <v>11606728624.325</v>
      </c>
    </row>
    <row r="27" spans="1:8" s="6" customFormat="1" ht="15">
      <c r="A27" s="68">
        <v>18</v>
      </c>
      <c r="B27" s="42" t="s">
        <v>538</v>
      </c>
      <c r="C27" s="69">
        <v>70</v>
      </c>
      <c r="D27" s="70"/>
      <c r="E27" s="71"/>
      <c r="F27" s="42"/>
      <c r="G27" s="415"/>
      <c r="H27" s="71"/>
    </row>
    <row r="28" spans="2:8" ht="15">
      <c r="B28" s="11" t="s">
        <v>327</v>
      </c>
      <c r="C28" s="11"/>
      <c r="D28" s="46"/>
      <c r="E28" s="23"/>
      <c r="F28" s="21"/>
      <c r="G28" s="416"/>
      <c r="H28" s="34"/>
    </row>
    <row r="29" spans="2:7" ht="15">
      <c r="B29" s="24" t="s">
        <v>730</v>
      </c>
      <c r="C29" s="45"/>
      <c r="F29" s="411"/>
      <c r="G29" s="411" t="s">
        <v>731</v>
      </c>
    </row>
    <row r="30" ht="14.25">
      <c r="G30" s="417"/>
    </row>
    <row r="31" spans="2:7" ht="15">
      <c r="B31" s="31"/>
      <c r="C31" s="31"/>
      <c r="E31" s="418"/>
      <c r="F31" s="418"/>
      <c r="G31" s="409"/>
    </row>
    <row r="32" ht="14.25">
      <c r="G32" s="417"/>
    </row>
    <row r="33" ht="14.25">
      <c r="G33" s="417"/>
    </row>
    <row r="34" ht="14.25">
      <c r="G34" s="417"/>
    </row>
    <row r="35" spans="2:7" ht="15">
      <c r="B35" s="31" t="s">
        <v>732</v>
      </c>
      <c r="C35" s="31"/>
      <c r="D35" s="45"/>
      <c r="E35" s="47"/>
      <c r="G35" s="417"/>
    </row>
    <row r="36" ht="14.25">
      <c r="G36" s="417"/>
    </row>
    <row r="37" ht="14.25">
      <c r="G37" s="417"/>
    </row>
    <row r="38" ht="14.25">
      <c r="G38" s="417"/>
    </row>
    <row r="39" ht="14.25">
      <c r="G39" s="417"/>
    </row>
    <row r="40" ht="14.25">
      <c r="G40" s="417"/>
    </row>
    <row r="41" ht="14.25">
      <c r="G41" s="417"/>
    </row>
    <row r="42" ht="14.25">
      <c r="G42" s="417"/>
    </row>
    <row r="43" ht="14.25">
      <c r="G43" s="417"/>
    </row>
  </sheetData>
  <sheetProtection/>
  <mergeCells count="8">
    <mergeCell ref="B4:H4"/>
    <mergeCell ref="B5:H5"/>
    <mergeCell ref="A7:A8"/>
    <mergeCell ref="B7:B8"/>
    <mergeCell ref="C7:C8"/>
    <mergeCell ref="D7:D8"/>
    <mergeCell ref="E7:F7"/>
    <mergeCell ref="G7:H7"/>
  </mergeCells>
  <printOptions/>
  <pageMargins left="0.66" right="0.6" top="0.31" bottom="0.19" header="0.58" footer="0.19"/>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R64"/>
  <sheetViews>
    <sheetView zoomScalePageLayoutView="0" workbookViewId="0" topLeftCell="A27">
      <selection activeCell="Q51" sqref="Q51"/>
    </sheetView>
  </sheetViews>
  <sheetFormatPr defaultColWidth="9.00390625" defaultRowHeight="12.75"/>
  <cols>
    <col min="1" max="1" width="3.00390625" style="80" customWidth="1"/>
    <col min="2" max="4" width="9.125" style="80" customWidth="1"/>
    <col min="5" max="5" width="7.625" style="80" customWidth="1"/>
    <col min="6" max="6" width="17.00390625" style="80" customWidth="1"/>
    <col min="7" max="7" width="1.12109375" style="80" customWidth="1"/>
    <col min="8" max="8" width="6.625" style="80" customWidth="1"/>
    <col min="9" max="9" width="1.00390625" style="80" customWidth="1"/>
    <col min="10" max="10" width="4.875" style="80" customWidth="1"/>
    <col min="11" max="11" width="0.6171875" style="80" customWidth="1"/>
    <col min="12" max="12" width="17.375" style="170" customWidth="1"/>
    <col min="13" max="13" width="0.875" style="171" customWidth="1"/>
    <col min="14" max="14" width="19.00390625" style="172" customWidth="1"/>
    <col min="15" max="15" width="18.875" style="80" hidden="1" customWidth="1"/>
    <col min="16" max="16" width="17.75390625" style="80" hidden="1" customWidth="1"/>
    <col min="17" max="17" width="17.00390625" style="80" bestFit="1" customWidth="1"/>
    <col min="18" max="18" width="12.00390625" style="80" bestFit="1" customWidth="1"/>
    <col min="19" max="16384" width="9.125" style="80" customWidth="1"/>
  </cols>
  <sheetData>
    <row r="1" spans="1:18" ht="15">
      <c r="A1" s="75" t="s">
        <v>539</v>
      </c>
      <c r="B1" s="76"/>
      <c r="C1" s="76"/>
      <c r="D1" s="76"/>
      <c r="E1" s="76"/>
      <c r="F1" s="76"/>
      <c r="G1" s="76"/>
      <c r="H1" s="76"/>
      <c r="I1" s="76"/>
      <c r="J1" s="76"/>
      <c r="K1" s="76"/>
      <c r="L1" s="77"/>
      <c r="M1" s="78"/>
      <c r="N1" s="79" t="s">
        <v>417</v>
      </c>
      <c r="O1" s="76"/>
      <c r="P1" s="76"/>
      <c r="Q1" s="76"/>
      <c r="R1" s="76"/>
    </row>
    <row r="2" spans="1:18" ht="15">
      <c r="A2" s="85" t="s">
        <v>418</v>
      </c>
      <c r="B2" s="81"/>
      <c r="C2" s="81"/>
      <c r="D2" s="81"/>
      <c r="E2" s="81"/>
      <c r="F2" s="81"/>
      <c r="G2" s="81"/>
      <c r="H2" s="81"/>
      <c r="I2" s="81"/>
      <c r="J2" s="81"/>
      <c r="K2" s="81"/>
      <c r="L2" s="82"/>
      <c r="M2" s="83"/>
      <c r="N2" s="84"/>
      <c r="O2" s="76"/>
      <c r="P2" s="76"/>
      <c r="Q2" s="76"/>
      <c r="R2" s="76"/>
    </row>
    <row r="3" spans="1:18" ht="15">
      <c r="A3" s="173" t="s">
        <v>643</v>
      </c>
      <c r="B3" s="86"/>
      <c r="C3" s="86"/>
      <c r="D3" s="86"/>
      <c r="E3" s="86"/>
      <c r="F3" s="86"/>
      <c r="G3" s="86"/>
      <c r="H3" s="86"/>
      <c r="I3" s="86"/>
      <c r="J3" s="86"/>
      <c r="K3" s="86"/>
      <c r="L3" s="87"/>
      <c r="M3" s="88"/>
      <c r="N3" s="89" t="s">
        <v>419</v>
      </c>
      <c r="O3" s="76"/>
      <c r="P3" s="76"/>
      <c r="Q3" s="76"/>
      <c r="R3" s="76"/>
    </row>
    <row r="4" spans="1:18" s="100" customFormat="1" ht="27.75" customHeight="1">
      <c r="A4" s="445" t="s">
        <v>511</v>
      </c>
      <c r="B4" s="445"/>
      <c r="C4" s="445"/>
      <c r="D4" s="445"/>
      <c r="E4" s="445"/>
      <c r="F4" s="445"/>
      <c r="G4" s="95"/>
      <c r="H4" s="95" t="s">
        <v>609</v>
      </c>
      <c r="I4" s="95"/>
      <c r="J4" s="97" t="s">
        <v>420</v>
      </c>
      <c r="K4" s="98"/>
      <c r="L4" s="174" t="s">
        <v>246</v>
      </c>
      <c r="M4" s="174"/>
      <c r="N4" s="174" t="s">
        <v>644</v>
      </c>
      <c r="O4" s="99"/>
      <c r="P4" s="99"/>
      <c r="Q4" s="99"/>
      <c r="R4" s="99"/>
    </row>
    <row r="5" spans="1:18" ht="19.5" customHeight="1">
      <c r="A5" s="101" t="s">
        <v>421</v>
      </c>
      <c r="B5" s="102"/>
      <c r="C5" s="102"/>
      <c r="D5" s="102"/>
      <c r="E5" s="102"/>
      <c r="F5" s="102"/>
      <c r="G5" s="102"/>
      <c r="H5" s="103"/>
      <c r="I5" s="103"/>
      <c r="J5" s="103"/>
      <c r="K5" s="103"/>
      <c r="L5" s="104"/>
      <c r="M5" s="105"/>
      <c r="N5" s="106"/>
      <c r="O5" s="76"/>
      <c r="P5" s="76"/>
      <c r="Q5" s="76"/>
      <c r="R5" s="76"/>
    </row>
    <row r="6" spans="1:18" ht="9.75" customHeight="1">
      <c r="A6" s="96"/>
      <c r="B6" s="96"/>
      <c r="C6" s="96"/>
      <c r="D6" s="96"/>
      <c r="E6" s="96"/>
      <c r="F6" s="96"/>
      <c r="G6" s="96"/>
      <c r="H6" s="103"/>
      <c r="I6" s="103"/>
      <c r="J6" s="103"/>
      <c r="K6" s="103"/>
      <c r="L6" s="104"/>
      <c r="M6" s="105"/>
      <c r="N6" s="106"/>
      <c r="O6" s="76"/>
      <c r="P6" s="107"/>
      <c r="Q6" s="107"/>
      <c r="R6" s="76"/>
    </row>
    <row r="7" spans="1:18" ht="19.5" customHeight="1">
      <c r="A7" s="101">
        <v>1</v>
      </c>
      <c r="B7" s="101" t="s">
        <v>422</v>
      </c>
      <c r="C7" s="102"/>
      <c r="D7" s="102"/>
      <c r="E7" s="102"/>
      <c r="F7" s="102"/>
      <c r="G7" s="102"/>
      <c r="H7" s="108">
        <v>1</v>
      </c>
      <c r="I7" s="108"/>
      <c r="J7" s="108"/>
      <c r="K7" s="108"/>
      <c r="L7" s="109">
        <f>KQKD!G23</f>
        <v>-1457935835</v>
      </c>
      <c r="M7" s="110"/>
      <c r="N7" s="111">
        <v>8413389151</v>
      </c>
      <c r="O7" s="112"/>
      <c r="P7" s="112"/>
      <c r="Q7" s="112"/>
      <c r="R7" s="76"/>
    </row>
    <row r="8" spans="1:18" ht="19.5" customHeight="1">
      <c r="A8" s="101">
        <v>2</v>
      </c>
      <c r="B8" s="101" t="s">
        <v>423</v>
      </c>
      <c r="C8" s="102"/>
      <c r="D8" s="102"/>
      <c r="E8" s="102"/>
      <c r="F8" s="102"/>
      <c r="G8" s="102"/>
      <c r="H8" s="108"/>
      <c r="I8" s="108"/>
      <c r="J8" s="108"/>
      <c r="K8" s="108"/>
      <c r="L8" s="109"/>
      <c r="M8" s="109"/>
      <c r="N8" s="109"/>
      <c r="O8" s="76"/>
      <c r="P8" s="76"/>
      <c r="Q8" s="76"/>
      <c r="R8" s="76"/>
    </row>
    <row r="9" spans="1:18" ht="19.5" customHeight="1">
      <c r="A9" s="113"/>
      <c r="B9" s="102" t="s">
        <v>424</v>
      </c>
      <c r="C9" s="102"/>
      <c r="D9" s="102"/>
      <c r="E9" s="102"/>
      <c r="F9" s="102"/>
      <c r="G9" s="102"/>
      <c r="H9" s="108">
        <v>2</v>
      </c>
      <c r="I9" s="108"/>
      <c r="J9" s="108"/>
      <c r="K9" s="108"/>
      <c r="L9" s="114">
        <v>686711210</v>
      </c>
      <c r="M9" s="110"/>
      <c r="N9" s="106">
        <v>674816976</v>
      </c>
      <c r="O9" s="112">
        <f>L9+'[1]CDKT'!J35+'[1]CDKT'!J38</f>
        <v>-265133542</v>
      </c>
      <c r="P9" s="76"/>
      <c r="Q9" s="76"/>
      <c r="R9" s="76"/>
    </row>
    <row r="10" spans="1:18" ht="15" customHeight="1" hidden="1">
      <c r="A10" s="113"/>
      <c r="B10" s="102" t="s">
        <v>425</v>
      </c>
      <c r="C10" s="102"/>
      <c r="D10" s="102"/>
      <c r="E10" s="102"/>
      <c r="F10" s="102"/>
      <c r="G10" s="102"/>
      <c r="H10" s="108">
        <v>3</v>
      </c>
      <c r="I10" s="108"/>
      <c r="J10" s="108"/>
      <c r="K10" s="108"/>
      <c r="L10" s="114"/>
      <c r="M10" s="110"/>
      <c r="N10" s="106"/>
      <c r="O10" s="115"/>
      <c r="P10" s="76"/>
      <c r="Q10" s="76"/>
      <c r="R10" s="76"/>
    </row>
    <row r="11" spans="1:18" ht="15" customHeight="1" hidden="1">
      <c r="A11" s="113"/>
      <c r="B11" s="102" t="s">
        <v>426</v>
      </c>
      <c r="C11" s="102"/>
      <c r="D11" s="102"/>
      <c r="E11" s="102"/>
      <c r="F11" s="102"/>
      <c r="G11" s="102"/>
      <c r="H11" s="108">
        <v>4</v>
      </c>
      <c r="I11" s="108"/>
      <c r="J11" s="108"/>
      <c r="K11" s="108"/>
      <c r="L11" s="114"/>
      <c r="M11" s="110"/>
      <c r="N11" s="106"/>
      <c r="O11" s="107"/>
      <c r="P11" s="76"/>
      <c r="Q11" s="76"/>
      <c r="R11" s="76"/>
    </row>
    <row r="12" spans="1:18" ht="19.5" customHeight="1">
      <c r="A12" s="113"/>
      <c r="B12" s="102" t="s">
        <v>427</v>
      </c>
      <c r="C12" s="102"/>
      <c r="D12" s="102"/>
      <c r="E12" s="102"/>
      <c r="F12" s="102"/>
      <c r="G12" s="102"/>
      <c r="H12" s="108">
        <v>5</v>
      </c>
      <c r="I12" s="108"/>
      <c r="J12" s="108"/>
      <c r="K12" s="108"/>
      <c r="L12" s="114">
        <v>2837128063</v>
      </c>
      <c r="M12" s="110"/>
      <c r="N12" s="106">
        <v>3391901932</v>
      </c>
      <c r="O12" s="112"/>
      <c r="P12" s="76"/>
      <c r="Q12" s="76"/>
      <c r="R12" s="76"/>
    </row>
    <row r="13" spans="1:18" ht="19.5" customHeight="1">
      <c r="A13" s="113"/>
      <c r="B13" s="102" t="s">
        <v>428</v>
      </c>
      <c r="C13" s="102"/>
      <c r="D13" s="102"/>
      <c r="E13" s="102"/>
      <c r="F13" s="102"/>
      <c r="G13" s="102"/>
      <c r="H13" s="108">
        <v>6</v>
      </c>
      <c r="I13" s="108"/>
      <c r="J13" s="108"/>
      <c r="K13" s="108"/>
      <c r="L13" s="114">
        <v>6327179174</v>
      </c>
      <c r="M13" s="110"/>
      <c r="N13" s="106">
        <v>1595568133</v>
      </c>
      <c r="O13" s="112"/>
      <c r="P13" s="76"/>
      <c r="Q13" s="76"/>
      <c r="R13" s="76"/>
    </row>
    <row r="14" spans="1:18" ht="30.75" customHeight="1">
      <c r="A14" s="116">
        <v>3</v>
      </c>
      <c r="B14" s="446" t="s">
        <v>429</v>
      </c>
      <c r="C14" s="447"/>
      <c r="D14" s="447"/>
      <c r="E14" s="447"/>
      <c r="F14" s="447"/>
      <c r="G14" s="117"/>
      <c r="H14" s="118">
        <v>8</v>
      </c>
      <c r="I14" s="118"/>
      <c r="J14" s="118"/>
      <c r="K14" s="118"/>
      <c r="L14" s="111">
        <f>SUM(L7:L13)</f>
        <v>8393082612</v>
      </c>
      <c r="M14" s="111">
        <f>SUM(M7:M13)</f>
        <v>0</v>
      </c>
      <c r="N14" s="111">
        <f>SUM(N7:N13)</f>
        <v>14075676192</v>
      </c>
      <c r="O14" s="76"/>
      <c r="P14" s="76"/>
      <c r="Q14" s="76"/>
      <c r="R14" s="76"/>
    </row>
    <row r="15" spans="1:18" ht="19.5" customHeight="1">
      <c r="A15" s="113"/>
      <c r="B15" s="102" t="s">
        <v>430</v>
      </c>
      <c r="C15" s="102"/>
      <c r="D15" s="102"/>
      <c r="E15" s="102"/>
      <c r="F15" s="102"/>
      <c r="G15" s="102"/>
      <c r="H15" s="108">
        <v>9</v>
      </c>
      <c r="I15" s="108"/>
      <c r="J15" s="108"/>
      <c r="K15" s="108"/>
      <c r="L15" s="114">
        <v>-20396977005</v>
      </c>
      <c r="M15" s="110"/>
      <c r="N15" s="106">
        <v>34763879940</v>
      </c>
      <c r="O15" s="112"/>
      <c r="P15" s="76"/>
      <c r="Q15" s="76"/>
      <c r="R15" s="76"/>
    </row>
    <row r="16" spans="1:18" ht="19.5" customHeight="1">
      <c r="A16" s="113"/>
      <c r="B16" s="102" t="s">
        <v>431</v>
      </c>
      <c r="C16" s="102"/>
      <c r="D16" s="102"/>
      <c r="E16" s="102"/>
      <c r="F16" s="102"/>
      <c r="G16" s="102"/>
      <c r="H16" s="108">
        <v>10</v>
      </c>
      <c r="I16" s="108"/>
      <c r="J16" s="108"/>
      <c r="K16" s="108"/>
      <c r="L16" s="114">
        <v>34123029813</v>
      </c>
      <c r="M16" s="110"/>
      <c r="N16" s="106">
        <v>16740105372</v>
      </c>
      <c r="O16" s="112"/>
      <c r="P16" s="76"/>
      <c r="Q16" s="76"/>
      <c r="R16" s="76"/>
    </row>
    <row r="17" spans="1:18" ht="31.5" customHeight="1">
      <c r="A17" s="102"/>
      <c r="B17" s="448" t="s">
        <v>432</v>
      </c>
      <c r="C17" s="449"/>
      <c r="D17" s="449"/>
      <c r="E17" s="449"/>
      <c r="F17" s="449"/>
      <c r="G17" s="120"/>
      <c r="H17" s="121">
        <v>11</v>
      </c>
      <c r="I17" s="121"/>
      <c r="J17" s="108"/>
      <c r="K17" s="108"/>
      <c r="L17" s="122">
        <v>6498453649</v>
      </c>
      <c r="M17" s="110"/>
      <c r="N17" s="94">
        <v>1032658029</v>
      </c>
      <c r="O17" s="123"/>
      <c r="P17" s="76"/>
      <c r="Q17" s="76"/>
      <c r="R17" s="76"/>
    </row>
    <row r="18" spans="1:18" ht="19.5" customHeight="1">
      <c r="A18" s="113"/>
      <c r="B18" s="102" t="s">
        <v>433</v>
      </c>
      <c r="C18" s="102"/>
      <c r="D18" s="102"/>
      <c r="E18" s="102"/>
      <c r="F18" s="102"/>
      <c r="G18" s="102"/>
      <c r="H18" s="108">
        <v>12</v>
      </c>
      <c r="I18" s="108"/>
      <c r="J18" s="108"/>
      <c r="K18" s="108"/>
      <c r="L18" s="114">
        <v>3233838885</v>
      </c>
      <c r="M18" s="110"/>
      <c r="N18" s="106">
        <v>274989712</v>
      </c>
      <c r="O18" s="112"/>
      <c r="P18" s="76"/>
      <c r="Q18" s="76"/>
      <c r="R18" s="76"/>
    </row>
    <row r="19" spans="1:18" ht="19.5" customHeight="1">
      <c r="A19" s="113"/>
      <c r="B19" s="102" t="s">
        <v>434</v>
      </c>
      <c r="C19" s="102"/>
      <c r="D19" s="102"/>
      <c r="E19" s="102"/>
      <c r="F19" s="102"/>
      <c r="G19" s="102"/>
      <c r="H19" s="108">
        <v>13</v>
      </c>
      <c r="I19" s="108"/>
      <c r="J19" s="108"/>
      <c r="K19" s="108"/>
      <c r="L19" s="114">
        <v>-4743958458</v>
      </c>
      <c r="M19" s="110"/>
      <c r="N19" s="106">
        <v>-1595568133</v>
      </c>
      <c r="O19" s="112"/>
      <c r="P19" s="76"/>
      <c r="Q19" s="76"/>
      <c r="R19" s="76"/>
    </row>
    <row r="20" spans="1:18" ht="19.5" customHeight="1">
      <c r="A20" s="113"/>
      <c r="B20" s="102" t="s">
        <v>435</v>
      </c>
      <c r="C20" s="102"/>
      <c r="D20" s="102"/>
      <c r="E20" s="102"/>
      <c r="F20" s="102"/>
      <c r="G20" s="102"/>
      <c r="H20" s="108">
        <v>14</v>
      </c>
      <c r="I20" s="108"/>
      <c r="J20" s="108"/>
      <c r="K20" s="108"/>
      <c r="L20" s="114">
        <v>-2535647730</v>
      </c>
      <c r="M20" s="110"/>
      <c r="N20" s="106">
        <v>-175709926</v>
      </c>
      <c r="O20" s="112"/>
      <c r="P20" s="76"/>
      <c r="Q20" s="76"/>
      <c r="R20" s="76"/>
    </row>
    <row r="21" spans="1:18" ht="19.5" customHeight="1">
      <c r="A21" s="113"/>
      <c r="B21" s="102" t="s">
        <v>436</v>
      </c>
      <c r="C21" s="102"/>
      <c r="D21" s="102"/>
      <c r="E21" s="102"/>
      <c r="F21" s="102"/>
      <c r="G21" s="102"/>
      <c r="H21" s="108">
        <v>15</v>
      </c>
      <c r="I21" s="108"/>
      <c r="J21" s="108"/>
      <c r="K21" s="108"/>
      <c r="L21" s="114">
        <v>44461821519</v>
      </c>
      <c r="M21" s="110"/>
      <c r="N21" s="106"/>
      <c r="O21" s="112"/>
      <c r="P21" s="76"/>
      <c r="Q21" s="76"/>
      <c r="R21" s="76"/>
    </row>
    <row r="22" spans="1:18" ht="19.5" customHeight="1">
      <c r="A22" s="113"/>
      <c r="B22" s="102" t="s">
        <v>438</v>
      </c>
      <c r="C22" s="102"/>
      <c r="D22" s="102"/>
      <c r="E22" s="102"/>
      <c r="F22" s="102"/>
      <c r="G22" s="102"/>
      <c r="H22" s="108">
        <v>16</v>
      </c>
      <c r="I22" s="108"/>
      <c r="J22" s="108"/>
      <c r="K22" s="108"/>
      <c r="L22" s="393"/>
      <c r="M22" s="110"/>
      <c r="N22" s="106">
        <v>-69808812171</v>
      </c>
      <c r="O22" s="112"/>
      <c r="P22" s="112"/>
      <c r="Q22" s="124"/>
      <c r="R22" s="76"/>
    </row>
    <row r="23" spans="1:18" ht="19.5" customHeight="1">
      <c r="A23" s="102"/>
      <c r="B23" s="101" t="s">
        <v>439</v>
      </c>
      <c r="C23" s="102"/>
      <c r="D23" s="102"/>
      <c r="E23" s="102"/>
      <c r="F23" s="102"/>
      <c r="G23" s="102"/>
      <c r="H23" s="118">
        <v>20</v>
      </c>
      <c r="I23" s="118"/>
      <c r="J23" s="118"/>
      <c r="K23" s="118"/>
      <c r="L23" s="111">
        <f>SUM(L14:L22)</f>
        <v>69033643285</v>
      </c>
      <c r="M23" s="111">
        <f>SUM(M14:M22)</f>
        <v>0</v>
      </c>
      <c r="N23" s="111">
        <f>SUM(N14:N22)</f>
        <v>-4692780985</v>
      </c>
      <c r="O23" s="76"/>
      <c r="P23" s="115"/>
      <c r="Q23" s="76"/>
      <c r="R23" s="76"/>
    </row>
    <row r="24" spans="1:18" ht="8.25" customHeight="1">
      <c r="A24" s="102"/>
      <c r="B24" s="101"/>
      <c r="C24" s="102"/>
      <c r="D24" s="102"/>
      <c r="E24" s="102"/>
      <c r="F24" s="102"/>
      <c r="G24" s="102"/>
      <c r="H24" s="118"/>
      <c r="I24" s="118"/>
      <c r="J24" s="118"/>
      <c r="K24" s="118"/>
      <c r="L24" s="111"/>
      <c r="M24" s="119"/>
      <c r="N24" s="111"/>
      <c r="O24" s="76"/>
      <c r="P24" s="115"/>
      <c r="Q24" s="76"/>
      <c r="R24" s="76"/>
    </row>
    <row r="25" spans="1:18" ht="19.5" customHeight="1">
      <c r="A25" s="441" t="s">
        <v>440</v>
      </c>
      <c r="B25" s="441"/>
      <c r="C25" s="441"/>
      <c r="D25" s="441"/>
      <c r="E25" s="441"/>
      <c r="F25" s="441"/>
      <c r="G25" s="96"/>
      <c r="H25" s="103"/>
      <c r="I25" s="103"/>
      <c r="J25" s="103"/>
      <c r="K25" s="103"/>
      <c r="L25" s="104"/>
      <c r="M25" s="105"/>
      <c r="N25" s="106"/>
      <c r="O25" s="107"/>
      <c r="P25" s="107"/>
      <c r="Q25" s="107"/>
      <c r="R25" s="76"/>
    </row>
    <row r="26" spans="1:18" ht="9.75" customHeight="1">
      <c r="A26" s="96"/>
      <c r="B26" s="96"/>
      <c r="C26" s="96"/>
      <c r="D26" s="96"/>
      <c r="E26" s="96"/>
      <c r="F26" s="96"/>
      <c r="G26" s="96"/>
      <c r="H26" s="103"/>
      <c r="I26" s="103"/>
      <c r="J26" s="103"/>
      <c r="K26" s="103"/>
      <c r="L26" s="104"/>
      <c r="M26" s="105"/>
      <c r="N26" s="106"/>
      <c r="O26" s="76"/>
      <c r="P26" s="107"/>
      <c r="Q26" s="107"/>
      <c r="R26" s="76"/>
    </row>
    <row r="27" spans="1:18" s="128" customFormat="1" ht="19.5" customHeight="1">
      <c r="A27" s="125">
        <v>1</v>
      </c>
      <c r="B27" s="91" t="s">
        <v>441</v>
      </c>
      <c r="C27" s="91"/>
      <c r="D27" s="91"/>
      <c r="E27" s="91"/>
      <c r="F27" s="91"/>
      <c r="G27" s="91"/>
      <c r="H27" s="121">
        <v>21</v>
      </c>
      <c r="I27" s="121"/>
      <c r="J27" s="121"/>
      <c r="K27" s="121"/>
      <c r="L27" s="122">
        <v>-202767433</v>
      </c>
      <c r="M27" s="126"/>
      <c r="N27" s="94">
        <v>-10786667</v>
      </c>
      <c r="O27" s="127">
        <f>L27+L9+('[1]CDKT'!J33+'[1]CDKT'!J36+'[1]CDKT'!J39)</f>
        <v>1362644727</v>
      </c>
      <c r="P27" s="81"/>
      <c r="Q27" s="127"/>
      <c r="R27" s="81"/>
    </row>
    <row r="28" spans="1:18" ht="15" customHeight="1">
      <c r="A28" s="129">
        <v>2</v>
      </c>
      <c r="B28" s="439" t="s">
        <v>442</v>
      </c>
      <c r="C28" s="440"/>
      <c r="D28" s="440"/>
      <c r="E28" s="440"/>
      <c r="F28" s="440"/>
      <c r="G28" s="130"/>
      <c r="H28" s="108">
        <v>22</v>
      </c>
      <c r="I28" s="108"/>
      <c r="J28" s="108"/>
      <c r="K28" s="108"/>
      <c r="L28" s="131">
        <v>308036884</v>
      </c>
      <c r="M28" s="110"/>
      <c r="N28" s="106">
        <v>13193270</v>
      </c>
      <c r="O28" s="123"/>
      <c r="P28" s="76"/>
      <c r="Q28" s="76"/>
      <c r="R28" s="76"/>
    </row>
    <row r="29" spans="1:18" ht="15" customHeight="1" hidden="1">
      <c r="A29" s="132">
        <v>3</v>
      </c>
      <c r="B29" s="132" t="s">
        <v>443</v>
      </c>
      <c r="C29" s="132"/>
      <c r="D29" s="132"/>
      <c r="E29" s="132"/>
      <c r="F29" s="132"/>
      <c r="G29" s="102"/>
      <c r="H29" s="108">
        <v>23</v>
      </c>
      <c r="I29" s="108"/>
      <c r="J29" s="108"/>
      <c r="K29" s="108"/>
      <c r="L29" s="131"/>
      <c r="M29" s="110"/>
      <c r="N29" s="106"/>
      <c r="O29" s="123"/>
      <c r="P29" s="76"/>
      <c r="Q29" s="76"/>
      <c r="R29" s="76"/>
    </row>
    <row r="30" spans="1:18" ht="15" customHeight="1" hidden="1">
      <c r="A30" s="132">
        <v>4</v>
      </c>
      <c r="B30" s="132" t="s">
        <v>444</v>
      </c>
      <c r="C30" s="132"/>
      <c r="D30" s="132"/>
      <c r="E30" s="132"/>
      <c r="F30" s="132"/>
      <c r="G30" s="102"/>
      <c r="H30" s="108">
        <v>24</v>
      </c>
      <c r="I30" s="108"/>
      <c r="J30" s="108"/>
      <c r="K30" s="108"/>
      <c r="L30" s="131"/>
      <c r="M30" s="110"/>
      <c r="N30" s="106"/>
      <c r="O30" s="123"/>
      <c r="P30" s="76"/>
      <c r="Q30" s="76"/>
      <c r="R30" s="76"/>
    </row>
    <row r="31" spans="1:18" ht="15" customHeight="1" hidden="1">
      <c r="A31" s="132">
        <v>5</v>
      </c>
      <c r="B31" s="132" t="s">
        <v>445</v>
      </c>
      <c r="C31" s="132"/>
      <c r="D31" s="132"/>
      <c r="E31" s="132"/>
      <c r="F31" s="132"/>
      <c r="G31" s="102"/>
      <c r="H31" s="108">
        <v>25</v>
      </c>
      <c r="I31" s="108"/>
      <c r="J31" s="108"/>
      <c r="K31" s="108"/>
      <c r="L31" s="131"/>
      <c r="M31" s="110"/>
      <c r="N31" s="106"/>
      <c r="O31" s="123"/>
      <c r="P31" s="76"/>
      <c r="Q31" s="76"/>
      <c r="R31" s="76"/>
    </row>
    <row r="32" spans="1:18" ht="15" hidden="1">
      <c r="A32" s="132">
        <v>6</v>
      </c>
      <c r="B32" s="132" t="s">
        <v>446</v>
      </c>
      <c r="C32" s="132"/>
      <c r="D32" s="132"/>
      <c r="E32" s="132"/>
      <c r="F32" s="132"/>
      <c r="G32" s="102"/>
      <c r="H32" s="108">
        <v>26</v>
      </c>
      <c r="I32" s="108"/>
      <c r="J32" s="108"/>
      <c r="K32" s="108"/>
      <c r="L32" s="131"/>
      <c r="M32" s="110"/>
      <c r="N32" s="106"/>
      <c r="O32" s="123"/>
      <c r="P32" s="76"/>
      <c r="Q32" s="76"/>
      <c r="R32" s="76"/>
    </row>
    <row r="33" spans="1:18" s="128" customFormat="1" ht="19.5" customHeight="1">
      <c r="A33" s="125">
        <v>7</v>
      </c>
      <c r="B33" s="91" t="s">
        <v>447</v>
      </c>
      <c r="C33" s="91"/>
      <c r="D33" s="91"/>
      <c r="E33" s="91"/>
      <c r="F33" s="91"/>
      <c r="G33" s="91"/>
      <c r="H33" s="121">
        <v>27</v>
      </c>
      <c r="I33" s="121"/>
      <c r="J33" s="121"/>
      <c r="K33" s="121"/>
      <c r="L33" s="122"/>
      <c r="M33" s="126"/>
      <c r="N33" s="94"/>
      <c r="O33" s="127"/>
      <c r="P33" s="81"/>
      <c r="Q33" s="127"/>
      <c r="R33" s="81"/>
    </row>
    <row r="34" spans="1:18" ht="19.5" customHeight="1">
      <c r="A34" s="102"/>
      <c r="B34" s="101" t="s">
        <v>448</v>
      </c>
      <c r="C34" s="102"/>
      <c r="D34" s="102"/>
      <c r="E34" s="102"/>
      <c r="F34" s="102"/>
      <c r="G34" s="102"/>
      <c r="H34" s="118">
        <v>30</v>
      </c>
      <c r="I34" s="118"/>
      <c r="J34" s="118"/>
      <c r="K34" s="118"/>
      <c r="L34" s="133">
        <f>SUM(L27:L33)</f>
        <v>105269451</v>
      </c>
      <c r="M34" s="133">
        <f>SUM(M27:M33)</f>
        <v>0</v>
      </c>
      <c r="N34" s="133">
        <f>SUM(N27:N33)</f>
        <v>2406603</v>
      </c>
      <c r="O34" s="76"/>
      <c r="P34" s="115"/>
      <c r="Q34" s="76"/>
      <c r="R34" s="76"/>
    </row>
    <row r="35" spans="1:18" ht="19.5" customHeight="1" hidden="1">
      <c r="A35" s="102"/>
      <c r="B35" s="101"/>
      <c r="C35" s="102"/>
      <c r="D35" s="102"/>
      <c r="E35" s="102"/>
      <c r="F35" s="102"/>
      <c r="G35" s="102"/>
      <c r="H35" s="118"/>
      <c r="I35" s="118"/>
      <c r="J35" s="118"/>
      <c r="K35" s="118"/>
      <c r="L35" s="111"/>
      <c r="M35" s="119"/>
      <c r="N35" s="111"/>
      <c r="O35" s="76"/>
      <c r="P35" s="76"/>
      <c r="Q35" s="76"/>
      <c r="R35" s="76"/>
    </row>
    <row r="36" spans="1:18" ht="19.5" customHeight="1" hidden="1">
      <c r="A36" s="102"/>
      <c r="B36" s="101"/>
      <c r="C36" s="102"/>
      <c r="D36" s="102"/>
      <c r="E36" s="102"/>
      <c r="F36" s="102"/>
      <c r="G36" s="102"/>
      <c r="H36" s="118"/>
      <c r="I36" s="118"/>
      <c r="J36" s="118"/>
      <c r="K36" s="118"/>
      <c r="L36" s="111"/>
      <c r="M36" s="119"/>
      <c r="N36" s="111"/>
      <c r="O36" s="76"/>
      <c r="P36" s="76"/>
      <c r="Q36" s="76"/>
      <c r="R36" s="76"/>
    </row>
    <row r="37" spans="1:18" ht="19.5" customHeight="1" hidden="1">
      <c r="A37" s="90"/>
      <c r="B37" s="91"/>
      <c r="C37" s="91"/>
      <c r="D37" s="91"/>
      <c r="E37" s="91"/>
      <c r="F37" s="91"/>
      <c r="G37" s="91"/>
      <c r="H37" s="91"/>
      <c r="I37" s="91"/>
      <c r="J37" s="91"/>
      <c r="K37" s="91"/>
      <c r="L37" s="92"/>
      <c r="M37" s="93"/>
      <c r="N37" s="94"/>
      <c r="O37" s="76"/>
      <c r="P37" s="76"/>
      <c r="Q37" s="76"/>
      <c r="R37" s="76"/>
    </row>
    <row r="38" spans="1:18" ht="19.5" customHeight="1" hidden="1">
      <c r="A38" s="90"/>
      <c r="B38" s="91"/>
      <c r="C38" s="91"/>
      <c r="D38" s="91"/>
      <c r="E38" s="91"/>
      <c r="F38" s="91"/>
      <c r="G38" s="91"/>
      <c r="H38" s="91"/>
      <c r="I38" s="91"/>
      <c r="J38" s="91"/>
      <c r="K38" s="91"/>
      <c r="L38" s="92"/>
      <c r="M38" s="93"/>
      <c r="N38" s="94"/>
      <c r="O38" s="76"/>
      <c r="P38" s="76"/>
      <c r="Q38" s="76"/>
      <c r="R38" s="76"/>
    </row>
    <row r="39" spans="1:18" ht="19.5" customHeight="1" hidden="1">
      <c r="A39" s="90"/>
      <c r="B39" s="91"/>
      <c r="C39" s="91"/>
      <c r="D39" s="91"/>
      <c r="E39" s="91"/>
      <c r="F39" s="91"/>
      <c r="G39" s="91"/>
      <c r="H39" s="91"/>
      <c r="I39" s="91"/>
      <c r="J39" s="91"/>
      <c r="K39" s="91"/>
      <c r="L39" s="92"/>
      <c r="M39" s="93"/>
      <c r="N39" s="94"/>
      <c r="O39" s="76"/>
      <c r="P39" s="76"/>
      <c r="Q39" s="76"/>
      <c r="R39" s="76"/>
    </row>
    <row r="40" spans="1:18" ht="19.5" customHeight="1" hidden="1">
      <c r="A40" s="90"/>
      <c r="B40" s="91"/>
      <c r="C40" s="91"/>
      <c r="D40" s="91"/>
      <c r="E40" s="91"/>
      <c r="F40" s="91"/>
      <c r="G40" s="91"/>
      <c r="H40" s="91"/>
      <c r="I40" s="91"/>
      <c r="J40" s="91"/>
      <c r="K40" s="91"/>
      <c r="L40" s="92"/>
      <c r="M40" s="93"/>
      <c r="N40" s="94"/>
      <c r="O40" s="76"/>
      <c r="P40" s="76"/>
      <c r="Q40" s="76"/>
      <c r="R40" s="76"/>
    </row>
    <row r="41" spans="1:18" ht="22.5" customHeight="1">
      <c r="A41" s="441" t="s">
        <v>449</v>
      </c>
      <c r="B41" s="441"/>
      <c r="C41" s="441"/>
      <c r="D41" s="441"/>
      <c r="E41" s="441"/>
      <c r="F41" s="441"/>
      <c r="G41" s="96"/>
      <c r="H41" s="103"/>
      <c r="I41" s="103"/>
      <c r="J41" s="103"/>
      <c r="K41" s="103"/>
      <c r="L41" s="104"/>
      <c r="M41" s="105"/>
      <c r="N41" s="106"/>
      <c r="O41" s="76"/>
      <c r="P41" s="76"/>
      <c r="Q41" s="76"/>
      <c r="R41" s="76"/>
    </row>
    <row r="42" spans="1:18" ht="3" customHeight="1">
      <c r="A42" s="96"/>
      <c r="B42" s="96"/>
      <c r="C42" s="96"/>
      <c r="D42" s="96"/>
      <c r="E42" s="96"/>
      <c r="F42" s="96"/>
      <c r="G42" s="96"/>
      <c r="H42" s="103"/>
      <c r="I42" s="103"/>
      <c r="J42" s="103"/>
      <c r="K42" s="103"/>
      <c r="L42" s="104"/>
      <c r="M42" s="105"/>
      <c r="N42" s="106"/>
      <c r="O42" s="107"/>
      <c r="P42" s="107"/>
      <c r="Q42" s="107"/>
      <c r="R42" s="76"/>
    </row>
    <row r="43" spans="1:18" ht="19.5" customHeight="1" hidden="1">
      <c r="A43" s="113">
        <v>1</v>
      </c>
      <c r="B43" s="102" t="s">
        <v>450</v>
      </c>
      <c r="C43" s="102"/>
      <c r="D43" s="102"/>
      <c r="E43" s="102"/>
      <c r="F43" s="102"/>
      <c r="G43" s="102"/>
      <c r="H43" s="108">
        <v>31</v>
      </c>
      <c r="I43" s="108"/>
      <c r="J43" s="108"/>
      <c r="K43" s="108"/>
      <c r="L43" s="114"/>
      <c r="M43" s="110"/>
      <c r="N43" s="106"/>
      <c r="O43" s="112"/>
      <c r="P43" s="76"/>
      <c r="Q43" s="76"/>
      <c r="R43" s="76"/>
    </row>
    <row r="44" spans="1:18" s="137" customFormat="1" ht="33.75" customHeight="1" hidden="1">
      <c r="A44" s="134">
        <v>2</v>
      </c>
      <c r="B44" s="442" t="s">
        <v>451</v>
      </c>
      <c r="C44" s="443"/>
      <c r="D44" s="443"/>
      <c r="E44" s="443"/>
      <c r="F44" s="443"/>
      <c r="G44" s="120"/>
      <c r="H44" s="108">
        <v>32</v>
      </c>
      <c r="I44" s="108"/>
      <c r="J44" s="108"/>
      <c r="K44" s="108"/>
      <c r="L44" s="114"/>
      <c r="M44" s="110"/>
      <c r="N44" s="106"/>
      <c r="O44" s="135"/>
      <c r="P44" s="136"/>
      <c r="Q44" s="135"/>
      <c r="R44" s="135"/>
    </row>
    <row r="45" spans="1:18" ht="19.5" customHeight="1">
      <c r="A45" s="102">
        <v>3</v>
      </c>
      <c r="B45" s="102" t="s">
        <v>452</v>
      </c>
      <c r="C45" s="102"/>
      <c r="D45" s="102"/>
      <c r="E45" s="102"/>
      <c r="F45" s="102"/>
      <c r="G45" s="102"/>
      <c r="H45" s="108">
        <v>33</v>
      </c>
      <c r="I45" s="108"/>
      <c r="J45" s="108"/>
      <c r="K45" s="108"/>
      <c r="L45" s="114"/>
      <c r="M45" s="110"/>
      <c r="N45" s="114">
        <v>28118891160</v>
      </c>
      <c r="O45" s="138" t="s">
        <v>453</v>
      </c>
      <c r="P45" s="139"/>
      <c r="Q45" s="76"/>
      <c r="R45" s="76"/>
    </row>
    <row r="46" spans="1:18" ht="19.5" customHeight="1">
      <c r="A46" s="102">
        <v>4</v>
      </c>
      <c r="B46" s="102" t="s">
        <v>454</v>
      </c>
      <c r="C46" s="102"/>
      <c r="D46" s="102"/>
      <c r="E46" s="102"/>
      <c r="F46" s="102"/>
      <c r="G46" s="102"/>
      <c r="H46" s="108">
        <v>34</v>
      </c>
      <c r="I46" s="108"/>
      <c r="J46" s="108"/>
      <c r="K46" s="108"/>
      <c r="L46" s="114">
        <f>-84563412482+4689925974</f>
        <v>-79873486508</v>
      </c>
      <c r="M46" s="110"/>
      <c r="N46" s="114">
        <v>-30917086212</v>
      </c>
      <c r="O46" s="138">
        <f>L45+L46-'[1]CDKT'!J59</f>
        <v>-123039723542</v>
      </c>
      <c r="P46" s="112"/>
      <c r="Q46" s="76"/>
      <c r="R46" s="76"/>
    </row>
    <row r="47" spans="1:18" ht="19.5" customHeight="1" hidden="1">
      <c r="A47" s="102">
        <v>5</v>
      </c>
      <c r="B47" s="102" t="s">
        <v>455</v>
      </c>
      <c r="C47" s="102"/>
      <c r="D47" s="102"/>
      <c r="E47" s="102"/>
      <c r="F47" s="102"/>
      <c r="G47" s="102"/>
      <c r="H47" s="108">
        <v>35</v>
      </c>
      <c r="I47" s="108"/>
      <c r="J47" s="108"/>
      <c r="K47" s="108"/>
      <c r="L47" s="114"/>
      <c r="M47" s="110"/>
      <c r="N47" s="114"/>
      <c r="O47" s="123"/>
      <c r="P47" s="112"/>
      <c r="Q47" s="76"/>
      <c r="R47" s="76"/>
    </row>
    <row r="48" spans="1:18" ht="15" customHeight="1">
      <c r="A48" s="102">
        <v>6</v>
      </c>
      <c r="B48" s="102" t="s">
        <v>456</v>
      </c>
      <c r="C48" s="102"/>
      <c r="D48" s="102"/>
      <c r="E48" s="102"/>
      <c r="F48" s="102"/>
      <c r="G48" s="102"/>
      <c r="H48" s="108">
        <v>36</v>
      </c>
      <c r="I48" s="108"/>
      <c r="J48" s="108"/>
      <c r="K48" s="108"/>
      <c r="L48" s="114">
        <v>-9542735</v>
      </c>
      <c r="M48" s="110"/>
      <c r="N48" s="106">
        <v>-63473690</v>
      </c>
      <c r="O48" s="123"/>
      <c r="P48" s="112"/>
      <c r="Q48" s="76"/>
      <c r="R48" s="76"/>
    </row>
    <row r="49" spans="1:18" ht="19.5" customHeight="1">
      <c r="A49" s="102"/>
      <c r="B49" s="101" t="s">
        <v>610</v>
      </c>
      <c r="C49" s="102"/>
      <c r="D49" s="102"/>
      <c r="E49" s="102"/>
      <c r="F49" s="102"/>
      <c r="G49" s="102"/>
      <c r="H49" s="118">
        <v>40</v>
      </c>
      <c r="I49" s="118"/>
      <c r="J49" s="118"/>
      <c r="K49" s="118"/>
      <c r="L49" s="111">
        <f>SUM(L43:L48)</f>
        <v>-79883029243</v>
      </c>
      <c r="M49" s="111">
        <f>SUM(M43:M48)</f>
        <v>0</v>
      </c>
      <c r="N49" s="111">
        <f>SUM(N43:N48)</f>
        <v>-2861668742</v>
      </c>
      <c r="O49" s="76"/>
      <c r="P49" s="112"/>
      <c r="Q49" s="76"/>
      <c r="R49" s="76"/>
    </row>
    <row r="50" spans="1:18" ht="19.5" customHeight="1">
      <c r="A50" s="102"/>
      <c r="B50" s="101" t="s">
        <v>457</v>
      </c>
      <c r="C50" s="102"/>
      <c r="D50" s="102"/>
      <c r="E50" s="102"/>
      <c r="F50" s="102"/>
      <c r="G50" s="102"/>
      <c r="H50" s="118">
        <v>50</v>
      </c>
      <c r="I50" s="118"/>
      <c r="J50" s="118"/>
      <c r="K50" s="118"/>
      <c r="L50" s="111">
        <f>L23+L34+L49</f>
        <v>-10744116507</v>
      </c>
      <c r="M50" s="111">
        <f>M23+M34+M49</f>
        <v>0</v>
      </c>
      <c r="N50" s="111">
        <f>N23+N34+N49</f>
        <v>-7552043124</v>
      </c>
      <c r="O50" s="124"/>
      <c r="P50" s="76"/>
      <c r="Q50" s="76"/>
      <c r="R50" s="76"/>
    </row>
    <row r="51" spans="1:18" ht="19.5" customHeight="1">
      <c r="A51" s="102"/>
      <c r="B51" s="101" t="s">
        <v>458</v>
      </c>
      <c r="C51" s="102"/>
      <c r="D51" s="102"/>
      <c r="E51" s="102"/>
      <c r="F51" s="102"/>
      <c r="G51" s="102"/>
      <c r="H51" s="118">
        <v>60</v>
      </c>
      <c r="I51" s="118"/>
      <c r="J51" s="118"/>
      <c r="K51" s="118"/>
      <c r="L51" s="109">
        <v>13298468858</v>
      </c>
      <c r="M51" s="119"/>
      <c r="N51" s="111">
        <v>10239036436</v>
      </c>
      <c r="O51" s="124"/>
      <c r="P51" s="76"/>
      <c r="Q51" s="76"/>
      <c r="R51" s="76"/>
    </row>
    <row r="52" spans="1:18" ht="13.5" customHeight="1">
      <c r="A52" s="102"/>
      <c r="B52" s="102" t="s">
        <v>459</v>
      </c>
      <c r="C52" s="102"/>
      <c r="D52" s="102"/>
      <c r="E52" s="102"/>
      <c r="F52" s="102"/>
      <c r="G52" s="102"/>
      <c r="H52" s="140">
        <v>61</v>
      </c>
      <c r="I52" s="140"/>
      <c r="J52" s="140"/>
      <c r="K52" s="140"/>
      <c r="L52" s="141"/>
      <c r="M52" s="142"/>
      <c r="N52" s="106"/>
      <c r="O52" s="124"/>
      <c r="P52" s="76"/>
      <c r="Q52" s="76"/>
      <c r="R52" s="76"/>
    </row>
    <row r="53" spans="1:18" ht="19.5" customHeight="1" thickBot="1">
      <c r="A53" s="102"/>
      <c r="B53" s="101" t="s">
        <v>460</v>
      </c>
      <c r="C53" s="102"/>
      <c r="D53" s="102"/>
      <c r="E53" s="102"/>
      <c r="F53" s="102"/>
      <c r="G53" s="102"/>
      <c r="H53" s="118">
        <v>70</v>
      </c>
      <c r="I53" s="118"/>
      <c r="J53" s="118"/>
      <c r="K53" s="118"/>
      <c r="L53" s="143">
        <f>SUM(L50:L52)</f>
        <v>2554352351</v>
      </c>
      <c r="M53" s="143">
        <f>SUM(M50:M52)</f>
        <v>0</v>
      </c>
      <c r="N53" s="143">
        <f>SUM(N50:N52)</f>
        <v>2686993312</v>
      </c>
      <c r="O53" s="144">
        <f>L53-'[1]CDKT'!G9</f>
        <v>-11579262559</v>
      </c>
      <c r="P53" s="115">
        <f>N53-'[1]CDKT'!I9</f>
        <v>-7737502425</v>
      </c>
      <c r="Q53" s="145"/>
      <c r="R53" s="76"/>
    </row>
    <row r="54" spans="1:18" ht="18.75" customHeight="1" thickTop="1">
      <c r="A54" s="102"/>
      <c r="B54" s="101"/>
      <c r="C54" s="102"/>
      <c r="D54" s="102"/>
      <c r="E54" s="102"/>
      <c r="F54" s="102"/>
      <c r="G54" s="102"/>
      <c r="H54" s="118"/>
      <c r="I54" s="118"/>
      <c r="J54" s="118"/>
      <c r="K54" s="118"/>
      <c r="L54" s="444" t="s">
        <v>328</v>
      </c>
      <c r="M54" s="444"/>
      <c r="N54" s="444"/>
      <c r="O54" s="124"/>
      <c r="P54" s="124"/>
      <c r="Q54" s="145"/>
      <c r="R54" s="76"/>
    </row>
    <row r="55" spans="1:18" s="153" customFormat="1" ht="20.25" customHeight="1">
      <c r="A55" s="146"/>
      <c r="B55" s="146"/>
      <c r="C55" s="148" t="s">
        <v>461</v>
      </c>
      <c r="D55" s="149"/>
      <c r="E55" s="150"/>
      <c r="F55" s="146"/>
      <c r="G55" s="151"/>
      <c r="H55" s="152"/>
      <c r="I55" s="152"/>
      <c r="J55" s="152"/>
      <c r="K55" s="147"/>
      <c r="L55" s="438" t="s">
        <v>415</v>
      </c>
      <c r="M55" s="438"/>
      <c r="N55" s="438"/>
      <c r="O55" s="146"/>
      <c r="P55" s="146"/>
      <c r="Q55" s="146"/>
      <c r="R55" s="146"/>
    </row>
    <row r="56" spans="1:18" s="153" customFormat="1" ht="21" customHeight="1">
      <c r="A56" s="146"/>
      <c r="B56" s="154"/>
      <c r="C56" s="155"/>
      <c r="D56" s="155"/>
      <c r="E56" s="156"/>
      <c r="F56" s="155"/>
      <c r="G56" s="156"/>
      <c r="H56" s="157"/>
      <c r="I56" s="157"/>
      <c r="J56" s="157"/>
      <c r="K56" s="157"/>
      <c r="L56" s="158"/>
      <c r="M56" s="159"/>
      <c r="N56" s="158"/>
      <c r="O56" s="146"/>
      <c r="P56" s="146"/>
      <c r="Q56" s="146"/>
      <c r="R56" s="146"/>
    </row>
    <row r="57" spans="1:18" s="153" customFormat="1" ht="15">
      <c r="A57" s="146"/>
      <c r="B57" s="160"/>
      <c r="C57" s="161"/>
      <c r="D57" s="161"/>
      <c r="E57" s="146"/>
      <c r="F57" s="161"/>
      <c r="G57" s="146"/>
      <c r="H57" s="157"/>
      <c r="I57" s="157"/>
      <c r="J57" s="162"/>
      <c r="K57" s="162"/>
      <c r="L57" s="158"/>
      <c r="M57" s="159"/>
      <c r="N57" s="84"/>
      <c r="O57" s="146"/>
      <c r="P57" s="146"/>
      <c r="Q57" s="146"/>
      <c r="R57" s="146"/>
    </row>
    <row r="58" spans="1:18" s="153" customFormat="1" ht="15">
      <c r="A58" s="146"/>
      <c r="B58" s="160"/>
      <c r="C58" s="161"/>
      <c r="D58" s="161"/>
      <c r="E58" s="146"/>
      <c r="F58" s="161"/>
      <c r="G58" s="146"/>
      <c r="H58" s="162"/>
      <c r="I58" s="162"/>
      <c r="J58" s="162"/>
      <c r="K58" s="162"/>
      <c r="L58" s="84"/>
      <c r="M58" s="163"/>
      <c r="N58" s="84"/>
      <c r="O58" s="146"/>
      <c r="P58" s="146"/>
      <c r="Q58" s="146"/>
      <c r="R58" s="146"/>
    </row>
    <row r="59" spans="1:18" s="153" customFormat="1" ht="15">
      <c r="A59" s="146"/>
      <c r="B59" s="160"/>
      <c r="C59" s="161"/>
      <c r="D59" s="161"/>
      <c r="E59" s="146"/>
      <c r="F59" s="161"/>
      <c r="G59" s="146"/>
      <c r="H59" s="162"/>
      <c r="I59" s="162"/>
      <c r="J59" s="162"/>
      <c r="K59" s="162"/>
      <c r="L59" s="84"/>
      <c r="M59" s="163"/>
      <c r="N59" s="84"/>
      <c r="O59" s="146"/>
      <c r="P59" s="146"/>
      <c r="Q59" s="146"/>
      <c r="R59" s="146"/>
    </row>
    <row r="60" spans="1:18" s="153" customFormat="1" ht="15">
      <c r="A60" s="146"/>
      <c r="B60" s="164"/>
      <c r="C60" s="161"/>
      <c r="D60" s="161"/>
      <c r="E60" s="146"/>
      <c r="F60" s="161"/>
      <c r="G60" s="146"/>
      <c r="H60" s="165"/>
      <c r="I60" s="165"/>
      <c r="J60" s="165"/>
      <c r="K60" s="165"/>
      <c r="L60" s="166"/>
      <c r="M60" s="167"/>
      <c r="N60" s="166"/>
      <c r="O60" s="146"/>
      <c r="P60" s="146"/>
      <c r="Q60" s="146"/>
      <c r="R60" s="146"/>
    </row>
    <row r="61" spans="1:18" s="153" customFormat="1" ht="15">
      <c r="A61" s="146"/>
      <c r="B61" s="160"/>
      <c r="C61" s="161"/>
      <c r="D61" s="161"/>
      <c r="E61" s="146"/>
      <c r="F61" s="161"/>
      <c r="G61" s="146"/>
      <c r="H61" s="168"/>
      <c r="I61" s="168"/>
      <c r="J61" s="168"/>
      <c r="K61" s="168"/>
      <c r="L61" s="84"/>
      <c r="M61" s="163"/>
      <c r="N61" s="84"/>
      <c r="O61" s="146"/>
      <c r="P61" s="146"/>
      <c r="Q61" s="146"/>
      <c r="R61" s="146"/>
    </row>
    <row r="62" spans="1:18" s="153" customFormat="1" ht="15">
      <c r="A62" s="146"/>
      <c r="B62" s="164"/>
      <c r="C62" s="164"/>
      <c r="D62" s="164"/>
      <c r="E62" s="146"/>
      <c r="F62" s="164"/>
      <c r="G62" s="146"/>
      <c r="H62" s="169"/>
      <c r="I62" s="169"/>
      <c r="J62" s="169"/>
      <c r="K62" s="168"/>
      <c r="L62" s="438"/>
      <c r="M62" s="438"/>
      <c r="N62" s="438"/>
      <c r="O62" s="146"/>
      <c r="P62" s="146"/>
      <c r="Q62" s="146"/>
      <c r="R62" s="146"/>
    </row>
    <row r="63" spans="1:18" ht="15">
      <c r="A63" s="76"/>
      <c r="B63" s="76"/>
      <c r="C63" s="76"/>
      <c r="D63" s="76"/>
      <c r="E63" s="76"/>
      <c r="F63" s="76"/>
      <c r="G63" s="76"/>
      <c r="H63" s="76"/>
      <c r="I63" s="76"/>
      <c r="J63" s="76"/>
      <c r="K63" s="76"/>
      <c r="L63" s="77"/>
      <c r="M63" s="78"/>
      <c r="N63" s="84"/>
      <c r="O63" s="76"/>
      <c r="P63" s="115"/>
      <c r="Q63" s="76"/>
      <c r="R63" s="76"/>
    </row>
    <row r="64" spans="1:18" ht="15">
      <c r="A64" s="76"/>
      <c r="B64" s="76"/>
      <c r="C64" s="76"/>
      <c r="D64" s="76"/>
      <c r="E64" s="76"/>
      <c r="F64" s="76"/>
      <c r="G64" s="76"/>
      <c r="H64" s="76"/>
      <c r="I64" s="76"/>
      <c r="J64" s="76"/>
      <c r="K64" s="76"/>
      <c r="L64" s="77"/>
      <c r="M64" s="78"/>
      <c r="N64" s="84"/>
      <c r="O64" s="112"/>
      <c r="P64" s="76"/>
      <c r="Q64" s="76"/>
      <c r="R64" s="76"/>
    </row>
  </sheetData>
  <sheetProtection/>
  <mergeCells count="10">
    <mergeCell ref="A4:F4"/>
    <mergeCell ref="B14:F14"/>
    <mergeCell ref="B17:F17"/>
    <mergeCell ref="A25:F25"/>
    <mergeCell ref="L55:N55"/>
    <mergeCell ref="L62:N62"/>
    <mergeCell ref="B28:F28"/>
    <mergeCell ref="A41:F41"/>
    <mergeCell ref="B44:F44"/>
    <mergeCell ref="L54:N54"/>
  </mergeCells>
  <printOptions/>
  <pageMargins left="0.19" right="0.18" top="0.2" bottom="0.2" header="0.2" footer="0.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581"/>
  <sheetViews>
    <sheetView zoomScalePageLayoutView="0" workbookViewId="0" topLeftCell="A553">
      <selection activeCell="D569" sqref="D569"/>
    </sheetView>
  </sheetViews>
  <sheetFormatPr defaultColWidth="9.00390625" defaultRowHeight="12.75"/>
  <cols>
    <col min="1" max="2" width="9.125" style="21" customWidth="1"/>
    <col min="3" max="3" width="2.125" style="21" customWidth="1"/>
    <col min="4" max="4" width="14.875" style="21" customWidth="1"/>
    <col min="5" max="5" width="3.75390625" style="21" customWidth="1"/>
    <col min="6" max="6" width="15.25390625" style="21" customWidth="1"/>
    <col min="7" max="7" width="2.125" style="21" customWidth="1"/>
    <col min="8" max="8" width="16.875" style="21" customWidth="1"/>
    <col min="9" max="9" width="14.875" style="21" customWidth="1"/>
    <col min="10" max="10" width="29.125" style="21" customWidth="1"/>
    <col min="11" max="11" width="18.375" style="21" customWidth="1"/>
    <col min="12" max="12" width="13.875" style="21" bestFit="1" customWidth="1"/>
    <col min="13" max="16384" width="9.125" style="21" customWidth="1"/>
  </cols>
  <sheetData>
    <row r="1" spans="1:9" s="25" customFormat="1" ht="14.25">
      <c r="A1" s="25" t="s">
        <v>402</v>
      </c>
      <c r="I1" s="25" t="s">
        <v>540</v>
      </c>
    </row>
    <row r="2" s="25" customFormat="1" ht="14.25">
      <c r="A2" s="25" t="s">
        <v>403</v>
      </c>
    </row>
    <row r="3" spans="1:9" s="25" customFormat="1" ht="15">
      <c r="A3" s="25" t="s">
        <v>723</v>
      </c>
      <c r="I3" s="32" t="s">
        <v>603</v>
      </c>
    </row>
    <row r="4" s="25" customFormat="1" ht="15">
      <c r="I4" s="32"/>
    </row>
    <row r="5" ht="15">
      <c r="A5" s="25" t="s">
        <v>734</v>
      </c>
    </row>
    <row r="6" ht="15">
      <c r="A6" s="25" t="s">
        <v>541</v>
      </c>
    </row>
    <row r="7" ht="15">
      <c r="A7" s="21" t="s">
        <v>735</v>
      </c>
    </row>
    <row r="8" ht="15">
      <c r="A8" s="21" t="s">
        <v>736</v>
      </c>
    </row>
    <row r="9" ht="15">
      <c r="A9" s="21" t="s">
        <v>737</v>
      </c>
    </row>
    <row r="11" ht="15">
      <c r="A11" s="25" t="s">
        <v>738</v>
      </c>
    </row>
    <row r="13" ht="15">
      <c r="A13" s="25" t="s">
        <v>542</v>
      </c>
    </row>
    <row r="14" ht="15">
      <c r="A14" s="21" t="s">
        <v>294</v>
      </c>
    </row>
    <row r="15" ht="15">
      <c r="A15" s="21" t="s">
        <v>293</v>
      </c>
    </row>
    <row r="16" ht="15">
      <c r="A16" s="21" t="s">
        <v>739</v>
      </c>
    </row>
    <row r="17" ht="15">
      <c r="A17" s="25" t="s">
        <v>0</v>
      </c>
    </row>
    <row r="18" ht="15">
      <c r="A18" s="25"/>
    </row>
    <row r="19" ht="15">
      <c r="A19" s="25" t="s">
        <v>1</v>
      </c>
    </row>
    <row r="20" ht="15">
      <c r="A20" s="32" t="s">
        <v>2</v>
      </c>
    </row>
    <row r="21" ht="15">
      <c r="A21" s="32"/>
    </row>
    <row r="22" ht="15">
      <c r="A22" s="25" t="s">
        <v>3</v>
      </c>
    </row>
    <row r="23" ht="15">
      <c r="B23" s="21" t="s">
        <v>4</v>
      </c>
    </row>
    <row r="24" ht="15">
      <c r="B24" s="21" t="s">
        <v>5</v>
      </c>
    </row>
    <row r="25" ht="15">
      <c r="B25" s="21" t="s">
        <v>6</v>
      </c>
    </row>
    <row r="26" ht="15">
      <c r="B26" s="21" t="s">
        <v>7</v>
      </c>
    </row>
    <row r="27" ht="15">
      <c r="A27" s="21" t="s">
        <v>8</v>
      </c>
    </row>
    <row r="28" ht="15">
      <c r="A28" s="21" t="s">
        <v>9</v>
      </c>
    </row>
    <row r="29" ht="15">
      <c r="B29" s="21" t="s">
        <v>10</v>
      </c>
    </row>
    <row r="30" ht="15">
      <c r="A30" s="21" t="s">
        <v>11</v>
      </c>
    </row>
    <row r="31" ht="15">
      <c r="B31" s="21" t="s">
        <v>12</v>
      </c>
    </row>
    <row r="32" ht="15">
      <c r="B32" s="21" t="s">
        <v>16</v>
      </c>
    </row>
    <row r="33" ht="15">
      <c r="B33" s="21" t="s">
        <v>17</v>
      </c>
    </row>
    <row r="34" ht="15">
      <c r="A34" s="21" t="s">
        <v>18</v>
      </c>
    </row>
    <row r="35" ht="15">
      <c r="A35" s="21" t="s">
        <v>19</v>
      </c>
    </row>
    <row r="36" ht="15">
      <c r="B36" s="21" t="s">
        <v>20</v>
      </c>
    </row>
    <row r="37" ht="15">
      <c r="B37" s="21" t="s">
        <v>21</v>
      </c>
    </row>
    <row r="38" ht="15">
      <c r="B38" s="21" t="s">
        <v>22</v>
      </c>
    </row>
    <row r="39" ht="15">
      <c r="A39" s="21" t="s">
        <v>23</v>
      </c>
    </row>
    <row r="40" ht="15">
      <c r="B40" s="21" t="s">
        <v>24</v>
      </c>
    </row>
    <row r="41" ht="15">
      <c r="B41" s="21" t="s">
        <v>25</v>
      </c>
    </row>
    <row r="42" ht="15">
      <c r="A42" s="21" t="s">
        <v>26</v>
      </c>
    </row>
    <row r="44" ht="15">
      <c r="A44" s="25" t="s">
        <v>27</v>
      </c>
    </row>
    <row r="45" ht="15">
      <c r="A45" s="25" t="s">
        <v>543</v>
      </c>
    </row>
    <row r="46" ht="15">
      <c r="A46" s="21" t="s">
        <v>544</v>
      </c>
    </row>
    <row r="47" ht="15">
      <c r="A47" s="25" t="s">
        <v>28</v>
      </c>
    </row>
    <row r="48" ht="15">
      <c r="A48" s="21" t="s">
        <v>29</v>
      </c>
    </row>
    <row r="50" ht="15">
      <c r="A50" s="25" t="s">
        <v>30</v>
      </c>
    </row>
    <row r="51" ht="15">
      <c r="A51" s="25" t="s">
        <v>545</v>
      </c>
    </row>
    <row r="52" ht="15">
      <c r="A52" s="21" t="s">
        <v>31</v>
      </c>
    </row>
    <row r="53" ht="15.75" customHeight="1">
      <c r="A53" s="21" t="s">
        <v>32</v>
      </c>
    </row>
    <row r="54" ht="15">
      <c r="A54" s="25" t="s">
        <v>33</v>
      </c>
    </row>
    <row r="55" ht="15">
      <c r="A55" s="21" t="s">
        <v>34</v>
      </c>
    </row>
    <row r="56" ht="15">
      <c r="A56" s="21" t="s">
        <v>35</v>
      </c>
    </row>
    <row r="57" ht="15">
      <c r="A57" s="21" t="s">
        <v>36</v>
      </c>
    </row>
    <row r="58" ht="15">
      <c r="A58" s="21" t="s">
        <v>546</v>
      </c>
    </row>
    <row r="60" ht="15">
      <c r="A60" s="25" t="s">
        <v>37</v>
      </c>
    </row>
    <row r="62" s="25" customFormat="1" ht="14.25">
      <c r="A62" s="25" t="s">
        <v>38</v>
      </c>
    </row>
    <row r="63" s="25" customFormat="1" ht="14.25">
      <c r="A63" s="25" t="s">
        <v>295</v>
      </c>
    </row>
    <row r="64" ht="15">
      <c r="A64" s="21" t="s">
        <v>296</v>
      </c>
    </row>
    <row r="65" ht="15">
      <c r="A65" s="21" t="s">
        <v>297</v>
      </c>
    </row>
    <row r="66" ht="15">
      <c r="A66" s="21" t="s">
        <v>298</v>
      </c>
    </row>
    <row r="67" ht="15">
      <c r="A67" s="21" t="s">
        <v>299</v>
      </c>
    </row>
    <row r="69" ht="15">
      <c r="A69" s="25" t="s">
        <v>300</v>
      </c>
    </row>
    <row r="70" ht="15">
      <c r="A70" s="25" t="s">
        <v>301</v>
      </c>
    </row>
    <row r="71" ht="15">
      <c r="A71" s="21" t="s">
        <v>302</v>
      </c>
    </row>
    <row r="72" ht="15">
      <c r="A72" s="21" t="s">
        <v>303</v>
      </c>
    </row>
    <row r="73" ht="15">
      <c r="A73" s="21" t="s">
        <v>304</v>
      </c>
    </row>
    <row r="74" ht="15">
      <c r="A74" s="25" t="s">
        <v>305</v>
      </c>
    </row>
    <row r="75" ht="15">
      <c r="A75" s="25" t="s">
        <v>306</v>
      </c>
    </row>
    <row r="76" ht="15">
      <c r="A76" s="21" t="s">
        <v>307</v>
      </c>
    </row>
    <row r="77" ht="15">
      <c r="A77" s="21" t="s">
        <v>404</v>
      </c>
    </row>
    <row r="78" ht="15">
      <c r="A78" s="21" t="s">
        <v>405</v>
      </c>
    </row>
    <row r="79" ht="15">
      <c r="A79" s="25" t="s">
        <v>645</v>
      </c>
    </row>
    <row r="80" ht="15">
      <c r="A80" s="21" t="s">
        <v>646</v>
      </c>
    </row>
    <row r="81" ht="15">
      <c r="A81" s="21" t="s">
        <v>647</v>
      </c>
    </row>
    <row r="82" ht="15">
      <c r="A82" s="21" t="s">
        <v>648</v>
      </c>
    </row>
    <row r="83" ht="15">
      <c r="A83" s="21" t="s">
        <v>649</v>
      </c>
    </row>
    <row r="84" ht="15">
      <c r="A84" s="25" t="s">
        <v>650</v>
      </c>
    </row>
    <row r="85" ht="15">
      <c r="A85" s="21" t="s">
        <v>651</v>
      </c>
    </row>
    <row r="86" ht="15">
      <c r="A86" s="21" t="s">
        <v>652</v>
      </c>
    </row>
    <row r="87" ht="15">
      <c r="A87" s="21" t="s">
        <v>653</v>
      </c>
    </row>
    <row r="88" ht="15">
      <c r="A88" s="21" t="s">
        <v>654</v>
      </c>
    </row>
    <row r="89" ht="15">
      <c r="A89" s="21" t="s">
        <v>655</v>
      </c>
    </row>
    <row r="90" ht="15">
      <c r="A90" s="21" t="s">
        <v>547</v>
      </c>
    </row>
    <row r="91" ht="15">
      <c r="A91" s="21" t="s">
        <v>656</v>
      </c>
    </row>
    <row r="92" ht="15">
      <c r="A92" s="21" t="s">
        <v>657</v>
      </c>
    </row>
    <row r="93" ht="15">
      <c r="A93" s="21" t="s">
        <v>658</v>
      </c>
    </row>
    <row r="95" s="25" customFormat="1" ht="14.25">
      <c r="A95" s="25" t="s">
        <v>659</v>
      </c>
    </row>
    <row r="96" ht="15">
      <c r="A96" s="25" t="s">
        <v>39</v>
      </c>
    </row>
    <row r="97" ht="15">
      <c r="A97" s="21" t="s">
        <v>40</v>
      </c>
    </row>
    <row r="98" ht="15">
      <c r="A98" s="21" t="s">
        <v>41</v>
      </c>
    </row>
    <row r="99" ht="15">
      <c r="A99" s="25" t="s">
        <v>42</v>
      </c>
    </row>
    <row r="100" ht="15">
      <c r="A100" s="21" t="s">
        <v>43</v>
      </c>
    </row>
    <row r="101" ht="15">
      <c r="A101" s="21" t="s">
        <v>44</v>
      </c>
    </row>
    <row r="103" ht="15">
      <c r="A103" s="21" t="s">
        <v>45</v>
      </c>
    </row>
    <row r="104" ht="15">
      <c r="A104" s="21" t="s">
        <v>46</v>
      </c>
    </row>
    <row r="105" ht="15">
      <c r="A105" s="21" t="s">
        <v>47</v>
      </c>
    </row>
    <row r="106" ht="15">
      <c r="A106" s="21" t="s">
        <v>48</v>
      </c>
    </row>
    <row r="107" ht="15">
      <c r="A107" s="21" t="s">
        <v>49</v>
      </c>
    </row>
    <row r="109" ht="15">
      <c r="A109" s="21" t="s">
        <v>50</v>
      </c>
    </row>
    <row r="110" ht="15">
      <c r="A110" s="21" t="s">
        <v>51</v>
      </c>
    </row>
    <row r="112" ht="15">
      <c r="A112" s="25" t="s">
        <v>408</v>
      </c>
    </row>
    <row r="113" ht="15">
      <c r="A113" s="21" t="s">
        <v>52</v>
      </c>
    </row>
    <row r="114" ht="15">
      <c r="A114" s="21" t="s">
        <v>53</v>
      </c>
    </row>
    <row r="115" ht="15">
      <c r="A115" s="21" t="s">
        <v>54</v>
      </c>
    </row>
    <row r="116" ht="15">
      <c r="A116" s="21" t="s">
        <v>55</v>
      </c>
    </row>
    <row r="117" ht="15">
      <c r="A117" s="21" t="s">
        <v>56</v>
      </c>
    </row>
    <row r="118" ht="15">
      <c r="A118" s="21" t="s">
        <v>57</v>
      </c>
    </row>
    <row r="119" ht="15">
      <c r="A119" s="21" t="s">
        <v>58</v>
      </c>
    </row>
    <row r="120" ht="15">
      <c r="A120" s="21" t="s">
        <v>548</v>
      </c>
    </row>
    <row r="121" ht="15">
      <c r="A121" s="21" t="s">
        <v>59</v>
      </c>
    </row>
    <row r="122" ht="15">
      <c r="A122" s="21" t="s">
        <v>60</v>
      </c>
    </row>
    <row r="123" ht="15">
      <c r="A123" s="21" t="s">
        <v>61</v>
      </c>
    </row>
    <row r="124" ht="15">
      <c r="A124" s="21" t="s">
        <v>62</v>
      </c>
    </row>
    <row r="125" ht="15">
      <c r="A125" s="21" t="s">
        <v>63</v>
      </c>
    </row>
    <row r="126" ht="15">
      <c r="A126" s="21" t="s">
        <v>64</v>
      </c>
    </row>
    <row r="127" ht="15">
      <c r="A127" s="21" t="s">
        <v>65</v>
      </c>
    </row>
    <row r="128" ht="15">
      <c r="A128" s="21" t="s">
        <v>66</v>
      </c>
    </row>
    <row r="129" ht="15">
      <c r="A129" s="21" t="s">
        <v>67</v>
      </c>
    </row>
    <row r="130" ht="15">
      <c r="A130" s="21" t="s">
        <v>68</v>
      </c>
    </row>
    <row r="132" ht="15">
      <c r="A132" s="25" t="s">
        <v>660</v>
      </c>
    </row>
    <row r="133" ht="15">
      <c r="A133" s="25" t="s">
        <v>661</v>
      </c>
    </row>
    <row r="134" ht="15">
      <c r="A134" s="21" t="s">
        <v>549</v>
      </c>
    </row>
    <row r="135" ht="15">
      <c r="A135" s="21" t="s">
        <v>69</v>
      </c>
    </row>
    <row r="136" ht="15">
      <c r="A136" s="21" t="s">
        <v>70</v>
      </c>
    </row>
    <row r="137" ht="15">
      <c r="A137" s="21" t="s">
        <v>71</v>
      </c>
    </row>
    <row r="138" ht="15">
      <c r="A138" s="21" t="s">
        <v>72</v>
      </c>
    </row>
    <row r="139" ht="15">
      <c r="A139" s="21" t="s">
        <v>73</v>
      </c>
    </row>
    <row r="140" ht="15">
      <c r="A140" s="21" t="s">
        <v>74</v>
      </c>
    </row>
    <row r="141" ht="15">
      <c r="A141" s="21" t="s">
        <v>75</v>
      </c>
    </row>
    <row r="142" ht="15">
      <c r="A142" s="21" t="s">
        <v>76</v>
      </c>
    </row>
    <row r="143" ht="15">
      <c r="A143" s="21" t="s">
        <v>77</v>
      </c>
    </row>
    <row r="144" ht="15">
      <c r="A144" s="21" t="s">
        <v>78</v>
      </c>
    </row>
    <row r="145" ht="15">
      <c r="A145" s="21" t="s">
        <v>79</v>
      </c>
    </row>
    <row r="146" ht="15">
      <c r="A146" s="21" t="s">
        <v>80</v>
      </c>
    </row>
    <row r="147" ht="15">
      <c r="A147" s="21" t="s">
        <v>81</v>
      </c>
    </row>
    <row r="148" ht="15">
      <c r="A148" s="21" t="s">
        <v>82</v>
      </c>
    </row>
    <row r="149" ht="15">
      <c r="A149" s="13" t="s">
        <v>83</v>
      </c>
    </row>
    <row r="150" spans="2:8" s="32" customFormat="1" ht="15">
      <c r="B150" s="32" t="s">
        <v>84</v>
      </c>
      <c r="H150" s="32" t="s">
        <v>85</v>
      </c>
    </row>
    <row r="151" spans="2:8" s="32" customFormat="1" ht="15">
      <c r="B151" s="32" t="s">
        <v>564</v>
      </c>
      <c r="H151" s="32" t="s">
        <v>86</v>
      </c>
    </row>
    <row r="152" spans="2:8" s="32" customFormat="1" ht="15">
      <c r="B152" s="32" t="s">
        <v>87</v>
      </c>
      <c r="H152" s="32" t="s">
        <v>88</v>
      </c>
    </row>
    <row r="153" spans="2:8" s="32" customFormat="1" ht="15">
      <c r="B153" s="32" t="s">
        <v>89</v>
      </c>
      <c r="H153" s="32" t="s">
        <v>90</v>
      </c>
    </row>
    <row r="154" spans="2:8" s="32" customFormat="1" ht="15">
      <c r="B154" s="32" t="s">
        <v>91</v>
      </c>
      <c r="H154" s="32" t="s">
        <v>92</v>
      </c>
    </row>
    <row r="155" s="32" customFormat="1" ht="15">
      <c r="B155" s="32" t="s">
        <v>93</v>
      </c>
    </row>
    <row r="157" ht="15">
      <c r="A157" s="25" t="s">
        <v>662</v>
      </c>
    </row>
    <row r="158" ht="15">
      <c r="A158" s="21" t="s">
        <v>94</v>
      </c>
    </row>
    <row r="159" ht="15">
      <c r="A159" s="21" t="s">
        <v>95</v>
      </c>
    </row>
    <row r="160" ht="15">
      <c r="A160" s="21" t="s">
        <v>96</v>
      </c>
    </row>
    <row r="161" ht="15">
      <c r="A161" s="21" t="s">
        <v>97</v>
      </c>
    </row>
    <row r="162" ht="15">
      <c r="A162" s="21" t="s">
        <v>98</v>
      </c>
    </row>
    <row r="163" ht="15">
      <c r="A163" s="21" t="s">
        <v>99</v>
      </c>
    </row>
    <row r="164" ht="15">
      <c r="A164" s="21" t="s">
        <v>100</v>
      </c>
    </row>
    <row r="165" ht="15">
      <c r="A165" s="21" t="s">
        <v>101</v>
      </c>
    </row>
    <row r="166" ht="15">
      <c r="A166" s="21" t="s">
        <v>102</v>
      </c>
    </row>
    <row r="167" ht="15">
      <c r="A167" s="21" t="s">
        <v>103</v>
      </c>
    </row>
    <row r="168" ht="15">
      <c r="A168" s="21" t="s">
        <v>104</v>
      </c>
    </row>
    <row r="169" ht="15">
      <c r="A169" s="21" t="s">
        <v>105</v>
      </c>
    </row>
    <row r="170" ht="15">
      <c r="A170" s="21" t="s">
        <v>106</v>
      </c>
    </row>
    <row r="171" ht="15">
      <c r="A171" s="21" t="s">
        <v>107</v>
      </c>
    </row>
    <row r="172" ht="15">
      <c r="A172" s="21" t="s">
        <v>108</v>
      </c>
    </row>
    <row r="173" ht="15">
      <c r="A173" s="21" t="s">
        <v>109</v>
      </c>
    </row>
    <row r="174" ht="15">
      <c r="A174" s="21" t="s">
        <v>110</v>
      </c>
    </row>
    <row r="175" ht="15">
      <c r="A175" s="21" t="s">
        <v>111</v>
      </c>
    </row>
    <row r="176" ht="15">
      <c r="A176" s="21" t="s">
        <v>112</v>
      </c>
    </row>
    <row r="177" ht="15">
      <c r="A177" s="21" t="s">
        <v>113</v>
      </c>
    </row>
    <row r="178" ht="15">
      <c r="A178" s="21" t="s">
        <v>114</v>
      </c>
    </row>
    <row r="179" ht="15">
      <c r="A179" s="21" t="s">
        <v>115</v>
      </c>
    </row>
    <row r="180" s="33" customFormat="1" ht="15">
      <c r="A180" s="21" t="s">
        <v>116</v>
      </c>
    </row>
    <row r="181" ht="15">
      <c r="A181" s="21" t="s">
        <v>117</v>
      </c>
    </row>
    <row r="182" ht="15">
      <c r="A182" s="21" t="s">
        <v>118</v>
      </c>
    </row>
    <row r="183" ht="15">
      <c r="A183" s="21" t="s">
        <v>119</v>
      </c>
    </row>
    <row r="184" ht="15">
      <c r="A184" s="21" t="s">
        <v>120</v>
      </c>
    </row>
    <row r="185" ht="15">
      <c r="A185" s="21" t="s">
        <v>121</v>
      </c>
    </row>
    <row r="186" ht="15">
      <c r="A186" s="21" t="s">
        <v>122</v>
      </c>
    </row>
    <row r="188" ht="15">
      <c r="A188" s="25" t="s">
        <v>663</v>
      </c>
    </row>
    <row r="189" ht="15">
      <c r="A189" s="25" t="s">
        <v>123</v>
      </c>
    </row>
    <row r="190" ht="15">
      <c r="A190" s="21" t="s">
        <v>124</v>
      </c>
    </row>
    <row r="191" ht="15">
      <c r="A191" s="21" t="s">
        <v>125</v>
      </c>
    </row>
    <row r="192" ht="15">
      <c r="A192" s="21" t="s">
        <v>126</v>
      </c>
    </row>
    <row r="193" ht="15">
      <c r="A193" s="25" t="s">
        <v>128</v>
      </c>
    </row>
    <row r="194" ht="15">
      <c r="A194" s="21" t="s">
        <v>129</v>
      </c>
    </row>
    <row r="195" ht="15">
      <c r="A195" s="21" t="s">
        <v>130</v>
      </c>
    </row>
    <row r="196" ht="15">
      <c r="A196" s="21" t="s">
        <v>131</v>
      </c>
    </row>
    <row r="197" ht="15">
      <c r="A197" s="21" t="s">
        <v>132</v>
      </c>
    </row>
    <row r="200" ht="15">
      <c r="A200" s="25" t="s">
        <v>664</v>
      </c>
    </row>
    <row r="201" ht="15">
      <c r="A201" s="25" t="s">
        <v>133</v>
      </c>
    </row>
    <row r="202" ht="15">
      <c r="A202" s="21" t="s">
        <v>134</v>
      </c>
    </row>
    <row r="203" ht="15">
      <c r="A203" s="21" t="s">
        <v>135</v>
      </c>
    </row>
    <row r="204" ht="15">
      <c r="A204" s="21" t="s">
        <v>136</v>
      </c>
    </row>
    <row r="205" ht="15">
      <c r="A205" s="21" t="s">
        <v>137</v>
      </c>
    </row>
    <row r="206" ht="15">
      <c r="A206" s="25" t="s">
        <v>138</v>
      </c>
    </row>
    <row r="207" ht="15">
      <c r="A207" s="21" t="s">
        <v>139</v>
      </c>
    </row>
    <row r="209" ht="15">
      <c r="A209" s="25" t="s">
        <v>665</v>
      </c>
    </row>
    <row r="210" ht="15">
      <c r="A210" s="25" t="s">
        <v>140</v>
      </c>
    </row>
    <row r="211" ht="15">
      <c r="A211" s="21" t="s">
        <v>141</v>
      </c>
    </row>
    <row r="212" ht="15">
      <c r="A212" s="21" t="s">
        <v>142</v>
      </c>
    </row>
    <row r="213" ht="15">
      <c r="A213" s="21" t="s">
        <v>143</v>
      </c>
    </row>
    <row r="214" ht="15">
      <c r="A214" s="21" t="s">
        <v>144</v>
      </c>
    </row>
    <row r="215" ht="15">
      <c r="A215" s="21" t="s">
        <v>145</v>
      </c>
    </row>
    <row r="217" ht="15">
      <c r="A217" s="25" t="s">
        <v>666</v>
      </c>
    </row>
    <row r="218" ht="15">
      <c r="A218" s="25" t="s">
        <v>146</v>
      </c>
    </row>
    <row r="219" ht="15.75" customHeight="1">
      <c r="A219" s="21" t="s">
        <v>147</v>
      </c>
    </row>
    <row r="220" ht="15.75" customHeight="1">
      <c r="A220" s="21" t="s">
        <v>148</v>
      </c>
    </row>
    <row r="221" ht="15.75" customHeight="1">
      <c r="A221" s="21" t="s">
        <v>149</v>
      </c>
    </row>
    <row r="222" ht="15">
      <c r="A222" s="21" t="s">
        <v>150</v>
      </c>
    </row>
    <row r="223" ht="15">
      <c r="A223" s="25" t="s">
        <v>151</v>
      </c>
    </row>
    <row r="224" ht="15">
      <c r="A224" s="21" t="s">
        <v>152</v>
      </c>
    </row>
    <row r="225" ht="15">
      <c r="A225" s="21" t="s">
        <v>153</v>
      </c>
    </row>
    <row r="226" ht="15">
      <c r="A226" s="25" t="s">
        <v>154</v>
      </c>
    </row>
    <row r="227" ht="15">
      <c r="A227" s="25" t="s">
        <v>155</v>
      </c>
    </row>
    <row r="228" ht="15">
      <c r="A228" s="21" t="s">
        <v>127</v>
      </c>
    </row>
    <row r="229" ht="15">
      <c r="A229" s="21" t="s">
        <v>156</v>
      </c>
    </row>
    <row r="230" ht="15">
      <c r="A230" s="21" t="s">
        <v>157</v>
      </c>
    </row>
    <row r="231" ht="15">
      <c r="A231" s="21" t="s">
        <v>158</v>
      </c>
    </row>
    <row r="232" ht="15">
      <c r="A232" s="25" t="s">
        <v>159</v>
      </c>
    </row>
    <row r="233" ht="15">
      <c r="A233" s="21" t="s">
        <v>160</v>
      </c>
    </row>
    <row r="234" ht="15">
      <c r="A234" s="25" t="s">
        <v>161</v>
      </c>
    </row>
    <row r="235" ht="15">
      <c r="A235" s="21" t="s">
        <v>162</v>
      </c>
    </row>
    <row r="236" ht="15">
      <c r="A236" s="21" t="s">
        <v>163</v>
      </c>
    </row>
    <row r="237" ht="15">
      <c r="A237" s="21" t="s">
        <v>164</v>
      </c>
    </row>
    <row r="238" ht="15">
      <c r="A238" s="21" t="s">
        <v>165</v>
      </c>
    </row>
    <row r="240" s="25" customFormat="1" ht="14.25">
      <c r="A240" s="25" t="s">
        <v>667</v>
      </c>
    </row>
    <row r="241" ht="15">
      <c r="A241" s="25" t="s">
        <v>166</v>
      </c>
    </row>
    <row r="242" ht="15">
      <c r="A242" s="21" t="s">
        <v>167</v>
      </c>
    </row>
    <row r="243" ht="15">
      <c r="A243" s="21" t="s">
        <v>168</v>
      </c>
    </row>
    <row r="244" ht="15">
      <c r="A244" s="21" t="s">
        <v>169</v>
      </c>
    </row>
    <row r="245" ht="15">
      <c r="A245" s="21" t="s">
        <v>170</v>
      </c>
    </row>
    <row r="246" ht="15">
      <c r="A246" s="21" t="s">
        <v>171</v>
      </c>
    </row>
    <row r="249" ht="15">
      <c r="A249" s="25" t="s">
        <v>172</v>
      </c>
    </row>
    <row r="250" ht="15">
      <c r="A250" s="21" t="s">
        <v>173</v>
      </c>
    </row>
    <row r="251" ht="15">
      <c r="A251" s="21" t="s">
        <v>174</v>
      </c>
    </row>
    <row r="252" ht="15">
      <c r="A252" s="21" t="s">
        <v>175</v>
      </c>
    </row>
    <row r="253" ht="15">
      <c r="A253" s="21" t="s">
        <v>176</v>
      </c>
    </row>
    <row r="254" ht="15">
      <c r="A254" s="25" t="s">
        <v>177</v>
      </c>
    </row>
    <row r="255" ht="15">
      <c r="A255" s="21" t="s">
        <v>178</v>
      </c>
    </row>
    <row r="256" ht="15">
      <c r="A256" s="21" t="s">
        <v>179</v>
      </c>
    </row>
    <row r="257" ht="15">
      <c r="A257" s="21" t="s">
        <v>180</v>
      </c>
    </row>
    <row r="258" ht="15">
      <c r="A258" s="21" t="s">
        <v>181</v>
      </c>
    </row>
    <row r="260" ht="15">
      <c r="A260" s="25" t="s">
        <v>668</v>
      </c>
    </row>
    <row r="261" ht="15">
      <c r="A261" s="21" t="s">
        <v>182</v>
      </c>
    </row>
    <row r="262" ht="15">
      <c r="A262" s="21" t="s">
        <v>183</v>
      </c>
    </row>
    <row r="263" ht="15">
      <c r="A263" s="21" t="s">
        <v>184</v>
      </c>
    </row>
    <row r="264" ht="15">
      <c r="A264" s="21" t="s">
        <v>185</v>
      </c>
    </row>
    <row r="265" ht="15">
      <c r="A265" s="21" t="s">
        <v>186</v>
      </c>
    </row>
    <row r="266" ht="15">
      <c r="A266" s="21" t="s">
        <v>187</v>
      </c>
    </row>
    <row r="268" ht="15">
      <c r="A268" s="25" t="s">
        <v>669</v>
      </c>
    </row>
    <row r="269" ht="15">
      <c r="A269" s="21" t="s">
        <v>188</v>
      </c>
    </row>
    <row r="270" ht="15">
      <c r="A270" s="21" t="s">
        <v>189</v>
      </c>
    </row>
    <row r="271" ht="15">
      <c r="A271" s="21" t="s">
        <v>190</v>
      </c>
    </row>
    <row r="272" ht="15">
      <c r="A272" s="21" t="s">
        <v>191</v>
      </c>
    </row>
    <row r="273" ht="15">
      <c r="A273" s="21" t="s">
        <v>192</v>
      </c>
    </row>
    <row r="274" ht="15">
      <c r="A274" s="21" t="s">
        <v>193</v>
      </c>
    </row>
    <row r="275" ht="15">
      <c r="A275" s="21" t="s">
        <v>194</v>
      </c>
    </row>
    <row r="276" ht="15">
      <c r="A276" s="21" t="s">
        <v>195</v>
      </c>
    </row>
    <row r="277" ht="15">
      <c r="A277" s="21" t="s">
        <v>196</v>
      </c>
    </row>
    <row r="278" ht="15">
      <c r="A278" s="21" t="s">
        <v>670</v>
      </c>
    </row>
    <row r="279" ht="15">
      <c r="A279" s="21" t="s">
        <v>671</v>
      </c>
    </row>
    <row r="280" ht="15">
      <c r="A280" s="21" t="s">
        <v>672</v>
      </c>
    </row>
    <row r="281" ht="15">
      <c r="A281" s="21" t="s">
        <v>673</v>
      </c>
    </row>
    <row r="282" ht="15">
      <c r="A282" s="21" t="s">
        <v>674</v>
      </c>
    </row>
    <row r="284" ht="15">
      <c r="A284" s="25" t="s">
        <v>675</v>
      </c>
    </row>
    <row r="285" ht="15">
      <c r="A285" s="21" t="s">
        <v>197</v>
      </c>
    </row>
    <row r="286" ht="15">
      <c r="A286" s="21" t="s">
        <v>198</v>
      </c>
    </row>
    <row r="287" ht="15">
      <c r="A287" s="21" t="s">
        <v>199</v>
      </c>
    </row>
    <row r="288" ht="15">
      <c r="A288" s="21" t="s">
        <v>200</v>
      </c>
    </row>
    <row r="289" ht="15">
      <c r="A289" s="21" t="s">
        <v>201</v>
      </c>
    </row>
    <row r="291" ht="15">
      <c r="A291" s="25" t="s">
        <v>676</v>
      </c>
    </row>
    <row r="292" ht="15">
      <c r="A292" s="25" t="s">
        <v>202</v>
      </c>
    </row>
    <row r="293" ht="15">
      <c r="A293" s="25" t="s">
        <v>203</v>
      </c>
    </row>
    <row r="294" ht="15">
      <c r="A294" s="21" t="s">
        <v>204</v>
      </c>
    </row>
    <row r="296" ht="15">
      <c r="A296" s="25" t="s">
        <v>205</v>
      </c>
    </row>
    <row r="297" ht="15">
      <c r="A297" s="21" t="s">
        <v>206</v>
      </c>
    </row>
    <row r="298" ht="15">
      <c r="A298" s="21" t="s">
        <v>207</v>
      </c>
    </row>
    <row r="299" ht="15">
      <c r="A299" s="21" t="s">
        <v>208</v>
      </c>
    </row>
    <row r="300" ht="15">
      <c r="A300" s="21" t="s">
        <v>209</v>
      </c>
    </row>
    <row r="301" ht="15">
      <c r="A301" s="25" t="s">
        <v>210</v>
      </c>
    </row>
    <row r="302" ht="15">
      <c r="A302" s="21" t="s">
        <v>211</v>
      </c>
    </row>
    <row r="303" ht="15">
      <c r="A303" s="21" t="s">
        <v>212</v>
      </c>
    </row>
    <row r="304" ht="15">
      <c r="A304" s="25" t="s">
        <v>677</v>
      </c>
    </row>
    <row r="305" ht="15">
      <c r="A305" s="21" t="s">
        <v>678</v>
      </c>
    </row>
    <row r="306" ht="15">
      <c r="A306" s="21" t="s">
        <v>679</v>
      </c>
    </row>
    <row r="307" ht="15">
      <c r="A307" s="21" t="s">
        <v>680</v>
      </c>
    </row>
    <row r="308" ht="15">
      <c r="A308" s="21" t="s">
        <v>681</v>
      </c>
    </row>
    <row r="309" ht="15">
      <c r="A309" s="21" t="s">
        <v>682</v>
      </c>
    </row>
    <row r="311" ht="15">
      <c r="A311" s="25" t="s">
        <v>683</v>
      </c>
    </row>
    <row r="312" spans="1:10" s="25" customFormat="1" ht="14.25">
      <c r="A312" s="25" t="s">
        <v>213</v>
      </c>
      <c r="H312" s="26" t="s">
        <v>214</v>
      </c>
      <c r="J312" s="394">
        <v>40179</v>
      </c>
    </row>
    <row r="313" spans="1:10" s="25" customFormat="1" ht="15">
      <c r="A313" s="24" t="s">
        <v>215</v>
      </c>
      <c r="H313" s="38"/>
      <c r="I313" s="38"/>
      <c r="J313" s="38"/>
    </row>
    <row r="314" spans="2:10" ht="15">
      <c r="B314" s="21" t="s">
        <v>551</v>
      </c>
      <c r="H314" s="34">
        <f>SUM(H315:H317)</f>
        <v>119559727</v>
      </c>
      <c r="I314" s="34"/>
      <c r="J314" s="34">
        <f>SUM(J315:J317)</f>
        <v>98290233</v>
      </c>
    </row>
    <row r="315" spans="2:10" s="32" customFormat="1" ht="15">
      <c r="B315" s="422" t="s">
        <v>684</v>
      </c>
      <c r="H315" s="35">
        <v>8734491</v>
      </c>
      <c r="I315" s="35"/>
      <c r="J315" s="35">
        <v>215819</v>
      </c>
    </row>
    <row r="316" spans="2:10" s="32" customFormat="1" ht="15">
      <c r="B316" s="422" t="s">
        <v>685</v>
      </c>
      <c r="H316" s="35">
        <v>2652900</v>
      </c>
      <c r="I316" s="35"/>
      <c r="J316" s="35">
        <v>21449300</v>
      </c>
    </row>
    <row r="317" spans="2:10" s="32" customFormat="1" ht="15">
      <c r="B317" s="422" t="s">
        <v>686</v>
      </c>
      <c r="H317" s="35">
        <v>108172336</v>
      </c>
      <c r="I317" s="35"/>
      <c r="J317" s="35">
        <v>76625114</v>
      </c>
    </row>
    <row r="318" spans="2:10" ht="15">
      <c r="B318" s="21" t="s">
        <v>552</v>
      </c>
      <c r="G318" s="34">
        <f>SUM(G319:G321)</f>
        <v>0</v>
      </c>
      <c r="H318" s="34">
        <f>SUM(H319:H321)</f>
        <v>2434792624</v>
      </c>
      <c r="I318" s="34"/>
      <c r="J318" s="34">
        <f>SUM(J319:J321)</f>
        <v>14035324677</v>
      </c>
    </row>
    <row r="319" spans="2:10" s="32" customFormat="1" ht="15">
      <c r="B319" s="422" t="s">
        <v>684</v>
      </c>
      <c r="H319" s="35">
        <v>1592260461</v>
      </c>
      <c r="I319" s="35"/>
      <c r="J319" s="35">
        <v>13237608728</v>
      </c>
    </row>
    <row r="320" spans="2:10" s="32" customFormat="1" ht="15">
      <c r="B320" s="422" t="s">
        <v>685</v>
      </c>
      <c r="H320" s="35">
        <v>1077129</v>
      </c>
      <c r="I320" s="35"/>
      <c r="J320" s="35">
        <v>1024098</v>
      </c>
    </row>
    <row r="321" spans="2:10" s="32" customFormat="1" ht="15">
      <c r="B321" s="422" t="s">
        <v>686</v>
      </c>
      <c r="H321" s="35">
        <v>841455034</v>
      </c>
      <c r="I321" s="35"/>
      <c r="J321" s="35">
        <v>796691851</v>
      </c>
    </row>
    <row r="322" spans="1:10" s="25" customFormat="1" ht="14.25">
      <c r="A322" s="419" t="s">
        <v>553</v>
      </c>
      <c r="G322" s="37">
        <f>G314+G318</f>
        <v>0</v>
      </c>
      <c r="H322" s="37">
        <f>H314+H318</f>
        <v>2554352351</v>
      </c>
      <c r="I322" s="37"/>
      <c r="J322" s="37">
        <f>J314+J318</f>
        <v>14133614910</v>
      </c>
    </row>
    <row r="324" spans="1:10" s="25" customFormat="1" ht="14.25">
      <c r="A324" s="25" t="s">
        <v>376</v>
      </c>
      <c r="H324" s="26" t="s">
        <v>214</v>
      </c>
      <c r="J324" s="394">
        <v>40179</v>
      </c>
    </row>
    <row r="325" spans="1:10" ht="15">
      <c r="A325" s="24" t="s">
        <v>554</v>
      </c>
      <c r="H325" s="35">
        <f>SUM(H326:H327)</f>
        <v>5192796645</v>
      </c>
      <c r="I325" s="35"/>
      <c r="J325" s="35">
        <f>SUM(J326:J327)</f>
        <v>2903755504</v>
      </c>
    </row>
    <row r="326" spans="2:10" s="32" customFormat="1" ht="15">
      <c r="B326" s="422" t="s">
        <v>684</v>
      </c>
      <c r="H326" s="35">
        <v>4130279606</v>
      </c>
      <c r="J326" s="34">
        <v>2389797345</v>
      </c>
    </row>
    <row r="327" spans="2:10" s="32" customFormat="1" ht="15">
      <c r="B327" s="422" t="s">
        <v>686</v>
      </c>
      <c r="H327" s="35">
        <f>5192796645-4130279606</f>
        <v>1062517039</v>
      </c>
      <c r="J327" s="34">
        <v>513958159</v>
      </c>
    </row>
    <row r="328" spans="1:10" s="25" customFormat="1" ht="14.25">
      <c r="A328" s="419" t="s">
        <v>553</v>
      </c>
      <c r="G328" s="37">
        <f>G325</f>
        <v>0</v>
      </c>
      <c r="H328" s="37">
        <f>H325</f>
        <v>5192796645</v>
      </c>
      <c r="I328" s="37"/>
      <c r="J328" s="37">
        <f>J325</f>
        <v>2903755504</v>
      </c>
    </row>
    <row r="329" ht="15">
      <c r="J329" s="34"/>
    </row>
    <row r="330" spans="1:10" s="25" customFormat="1" ht="14.25">
      <c r="A330" s="25" t="s">
        <v>216</v>
      </c>
      <c r="H330" s="26" t="s">
        <v>214</v>
      </c>
      <c r="J330" s="394">
        <v>40179</v>
      </c>
    </row>
    <row r="331" spans="1:10" ht="15">
      <c r="A331" s="21" t="s">
        <v>556</v>
      </c>
      <c r="H331" s="34">
        <v>23150341513</v>
      </c>
      <c r="J331" s="34">
        <v>18630424804</v>
      </c>
    </row>
    <row r="332" spans="1:10" ht="15">
      <c r="A332" s="21" t="s">
        <v>557</v>
      </c>
      <c r="H332" s="34">
        <v>37749429</v>
      </c>
      <c r="J332" s="34">
        <v>28135559</v>
      </c>
    </row>
    <row r="333" spans="1:10" ht="15">
      <c r="A333" s="21" t="s">
        <v>558</v>
      </c>
      <c r="H333" s="34">
        <v>5351585680</v>
      </c>
      <c r="J333" s="34">
        <v>6078969068</v>
      </c>
    </row>
    <row r="334" spans="1:10" ht="15">
      <c r="A334" s="21" t="s">
        <v>559</v>
      </c>
      <c r="H334" s="34">
        <v>15574215727</v>
      </c>
      <c r="J334" s="34">
        <v>4569530492</v>
      </c>
    </row>
    <row r="335" spans="1:10" ht="15">
      <c r="A335" s="21" t="s">
        <v>502</v>
      </c>
      <c r="H335" s="34">
        <f>69414834774-65899158966</f>
        <v>3515675808</v>
      </c>
      <c r="J335" s="34">
        <v>28674815518</v>
      </c>
    </row>
    <row r="336" spans="1:10" ht="15">
      <c r="A336" s="21" t="s">
        <v>560</v>
      </c>
      <c r="H336" s="34">
        <v>21785266617</v>
      </c>
      <c r="J336" s="34">
        <v>2800830076</v>
      </c>
    </row>
    <row r="337" spans="1:10" s="25" customFormat="1" ht="14.25">
      <c r="A337" s="25" t="s">
        <v>561</v>
      </c>
      <c r="H337" s="38">
        <f>SUM(H331:H336)</f>
        <v>69414834774</v>
      </c>
      <c r="I337" s="38"/>
      <c r="J337" s="38">
        <f>SUM(J331:J336)</f>
        <v>60782705517</v>
      </c>
    </row>
    <row r="339" spans="1:10" s="25" customFormat="1" ht="14.25">
      <c r="A339" s="25" t="s">
        <v>217</v>
      </c>
      <c r="H339" s="26" t="s">
        <v>214</v>
      </c>
      <c r="J339" s="394">
        <v>40179</v>
      </c>
    </row>
    <row r="340" spans="1:10" ht="15">
      <c r="A340" s="25" t="s">
        <v>218</v>
      </c>
      <c r="G340" s="34">
        <f>G341+G344</f>
        <v>0</v>
      </c>
      <c r="H340" s="34">
        <f>H341+H344</f>
        <v>15976838996</v>
      </c>
      <c r="I340" s="34">
        <f>I341+I344</f>
        <v>0</v>
      </c>
      <c r="J340" s="34">
        <f>J341+J344</f>
        <v>15921879893</v>
      </c>
    </row>
    <row r="341" spans="2:10" ht="15">
      <c r="B341" s="21" t="s">
        <v>219</v>
      </c>
      <c r="H341" s="34">
        <f>SUM(H342:H343)</f>
        <v>5837107563</v>
      </c>
      <c r="I341" s="34"/>
      <c r="J341" s="34">
        <f>SUM(J342:J343)</f>
        <v>5447530884</v>
      </c>
    </row>
    <row r="342" spans="2:10" s="32" customFormat="1" ht="15">
      <c r="B342" s="422" t="s">
        <v>684</v>
      </c>
      <c r="H342" s="35">
        <v>5177209985</v>
      </c>
      <c r="J342" s="35">
        <v>4689720985</v>
      </c>
    </row>
    <row r="343" spans="2:10" s="32" customFormat="1" ht="15">
      <c r="B343" s="422" t="s">
        <v>686</v>
      </c>
      <c r="H343" s="35">
        <f>15976838996-15316941418</f>
        <v>659897578</v>
      </c>
      <c r="J343" s="35">
        <v>757809899</v>
      </c>
    </row>
    <row r="344" spans="2:10" ht="15">
      <c r="B344" s="21" t="s">
        <v>220</v>
      </c>
      <c r="H344" s="34">
        <f>H345</f>
        <v>10139731433</v>
      </c>
      <c r="I344" s="34"/>
      <c r="J344" s="34">
        <f>J345</f>
        <v>10474349009</v>
      </c>
    </row>
    <row r="345" spans="3:10" ht="15">
      <c r="C345" s="32" t="s">
        <v>221</v>
      </c>
      <c r="H345" s="34">
        <v>10139731433</v>
      </c>
      <c r="J345" s="35">
        <v>10474349009</v>
      </c>
    </row>
    <row r="346" spans="1:10" s="25" customFormat="1" ht="14.25">
      <c r="A346" s="25" t="s">
        <v>222</v>
      </c>
      <c r="G346" s="38">
        <f>G341+G344</f>
        <v>0</v>
      </c>
      <c r="H346" s="38">
        <f>H341+H344</f>
        <v>15976838996</v>
      </c>
      <c r="I346" s="38"/>
      <c r="J346" s="38">
        <f>J341+J344</f>
        <v>15921879893</v>
      </c>
    </row>
    <row r="347" spans="8:10" s="25" customFormat="1" ht="14.25">
      <c r="H347" s="38"/>
      <c r="I347" s="38"/>
      <c r="J347" s="38"/>
    </row>
    <row r="348" s="25" customFormat="1" ht="14.25">
      <c r="A348" s="25" t="s">
        <v>687</v>
      </c>
    </row>
    <row r="349" spans="1:10" s="26" customFormat="1" ht="28.5">
      <c r="A349" s="39" t="s">
        <v>562</v>
      </c>
      <c r="B349" s="39"/>
      <c r="D349" s="39" t="s">
        <v>563</v>
      </c>
      <c r="F349" s="39" t="s">
        <v>564</v>
      </c>
      <c r="H349" s="39" t="s">
        <v>565</v>
      </c>
      <c r="I349" s="39" t="s">
        <v>566</v>
      </c>
      <c r="J349" s="39" t="s">
        <v>567</v>
      </c>
    </row>
    <row r="350" s="25" customFormat="1" ht="14.25">
      <c r="A350" s="25" t="s">
        <v>323</v>
      </c>
    </row>
    <row r="351" spans="1:10" ht="15">
      <c r="A351" s="21" t="s">
        <v>223</v>
      </c>
      <c r="D351" s="34">
        <v>2163224919</v>
      </c>
      <c r="E351" s="34"/>
      <c r="F351" s="34">
        <v>2081050775</v>
      </c>
      <c r="G351" s="34"/>
      <c r="H351" s="34">
        <v>3236373621</v>
      </c>
      <c r="I351" s="34">
        <v>411143120</v>
      </c>
      <c r="J351" s="34">
        <f>SUM(D351:I351)</f>
        <v>7891792435</v>
      </c>
    </row>
    <row r="352" spans="1:10" ht="15">
      <c r="A352" s="21" t="s">
        <v>224</v>
      </c>
      <c r="F352" s="34">
        <v>64442887</v>
      </c>
      <c r="H352" s="34">
        <v>29396932</v>
      </c>
      <c r="J352" s="34">
        <f>SUM(D352:I352)</f>
        <v>93839819</v>
      </c>
    </row>
    <row r="353" spans="1:10" ht="15">
      <c r="A353" s="21" t="s">
        <v>568</v>
      </c>
      <c r="H353" s="34">
        <v>70800992</v>
      </c>
      <c r="J353" s="34">
        <f>SUM(D353:I353)</f>
        <v>70800992</v>
      </c>
    </row>
    <row r="354" spans="1:10" ht="15">
      <c r="A354" s="21" t="s">
        <v>688</v>
      </c>
      <c r="H354" s="34">
        <v>2662706</v>
      </c>
      <c r="J354" s="34">
        <f>SUM(D354:I354)</f>
        <v>2662706</v>
      </c>
    </row>
    <row r="355" spans="1:10" ht="15">
      <c r="A355" s="21" t="s">
        <v>569</v>
      </c>
      <c r="D355" s="36">
        <f>D351+D352-D353</f>
        <v>2163224919</v>
      </c>
      <c r="E355" s="36"/>
      <c r="F355" s="36">
        <f>F351+F352-F353</f>
        <v>2145493662</v>
      </c>
      <c r="G355" s="36"/>
      <c r="H355" s="36">
        <f>H351+H352-H353-H354</f>
        <v>3192306855</v>
      </c>
      <c r="I355" s="36">
        <f>I351+I352-I353</f>
        <v>411143120</v>
      </c>
      <c r="J355" s="34">
        <f>SUM(D355:I355)</f>
        <v>7912168556</v>
      </c>
    </row>
    <row r="356" ht="15">
      <c r="A356" s="25" t="s">
        <v>570</v>
      </c>
    </row>
    <row r="357" spans="1:10" ht="15">
      <c r="A357" s="21" t="s">
        <v>223</v>
      </c>
      <c r="D357" s="34">
        <v>705985315</v>
      </c>
      <c r="E357" s="34"/>
      <c r="F357" s="34">
        <v>1543507923</v>
      </c>
      <c r="G357" s="34"/>
      <c r="H357" s="34">
        <v>1070550480</v>
      </c>
      <c r="I357" s="34">
        <v>128481057</v>
      </c>
      <c r="J357" s="34">
        <f>SUM(D357:I357)</f>
        <v>3448524775</v>
      </c>
    </row>
    <row r="358" spans="1:10" ht="15">
      <c r="A358" s="21" t="s">
        <v>225</v>
      </c>
      <c r="D358" s="34">
        <f>60514512*2</f>
        <v>121029024</v>
      </c>
      <c r="E358" s="34"/>
      <c r="F358" s="34">
        <f>125038606+62519303</f>
        <v>187557909</v>
      </c>
      <c r="G358" s="34"/>
      <c r="H358" s="34">
        <f>270412238+135206119-27880439</f>
        <v>377737918</v>
      </c>
      <c r="I358" s="34">
        <v>13685472</v>
      </c>
      <c r="J358" s="34">
        <f>SUM(D358:I358)</f>
        <v>700010323</v>
      </c>
    </row>
    <row r="359" spans="1:10" ht="15">
      <c r="A359" s="21" t="s">
        <v>689</v>
      </c>
      <c r="D359" s="34"/>
      <c r="E359" s="34"/>
      <c r="F359" s="34">
        <v>1872449</v>
      </c>
      <c r="G359" s="34"/>
      <c r="H359" s="34"/>
      <c r="I359" s="34"/>
      <c r="J359" s="34">
        <f>SUM(D359:I359)</f>
        <v>1872449</v>
      </c>
    </row>
    <row r="360" spans="1:10" ht="15">
      <c r="A360" s="21" t="s">
        <v>568</v>
      </c>
      <c r="H360" s="34">
        <v>10611248</v>
      </c>
      <c r="J360" s="34">
        <f>SUM(D360:I360)</f>
        <v>10611248</v>
      </c>
    </row>
    <row r="361" spans="1:10" ht="15">
      <c r="A361" s="21" t="s">
        <v>690</v>
      </c>
      <c r="F361" s="34">
        <v>14464320</v>
      </c>
      <c r="H361" s="34"/>
      <c r="J361" s="34">
        <f>SUM(D361:I361)</f>
        <v>14464320</v>
      </c>
    </row>
    <row r="362" spans="1:12" ht="15">
      <c r="A362" s="21" t="s">
        <v>569</v>
      </c>
      <c r="D362" s="36">
        <f>D357+D358+D359-D360-D361</f>
        <v>827014339</v>
      </c>
      <c r="E362" s="36"/>
      <c r="F362" s="36">
        <f>F357+F358+F359-F360-F361</f>
        <v>1718473961</v>
      </c>
      <c r="G362" s="36">
        <f>G357+G358+G359-G360-G361</f>
        <v>0</v>
      </c>
      <c r="H362" s="36">
        <f>H357+H358+H359-H360-H361</f>
        <v>1437677150</v>
      </c>
      <c r="I362" s="36">
        <f>I357+I358+I359-I360-I361</f>
        <v>142166529</v>
      </c>
      <c r="J362" s="36">
        <f>J357+J358+J359-J360-J361</f>
        <v>4125331979</v>
      </c>
      <c r="K362" s="34"/>
      <c r="L362" s="36"/>
    </row>
    <row r="363" s="25" customFormat="1" ht="14.25">
      <c r="A363" s="25" t="s">
        <v>229</v>
      </c>
    </row>
    <row r="364" spans="1:10" ht="15">
      <c r="A364" s="21" t="s">
        <v>710</v>
      </c>
      <c r="D364" s="36">
        <f>D351-D357</f>
        <v>1457239604</v>
      </c>
      <c r="F364" s="36">
        <f>F351-F357</f>
        <v>537542852</v>
      </c>
      <c r="H364" s="36">
        <f>H351-H357</f>
        <v>2165823141</v>
      </c>
      <c r="I364" s="36">
        <f>I351-I357</f>
        <v>282662063</v>
      </c>
      <c r="J364" s="36">
        <f>SUM(D364:I364)</f>
        <v>4443267660</v>
      </c>
    </row>
    <row r="365" spans="1:10" ht="15">
      <c r="A365" s="21" t="s">
        <v>571</v>
      </c>
      <c r="D365" s="36">
        <f>D355-D362</f>
        <v>1336210580</v>
      </c>
      <c r="E365" s="36"/>
      <c r="F365" s="36">
        <f>F355-F362</f>
        <v>427019701</v>
      </c>
      <c r="G365" s="36"/>
      <c r="H365" s="36">
        <f>H355-H362</f>
        <v>1754629705</v>
      </c>
      <c r="I365" s="36">
        <f>I355-I362</f>
        <v>268976591</v>
      </c>
      <c r="J365" s="36">
        <f>SUM(D365:I365)</f>
        <v>3786836577</v>
      </c>
    </row>
    <row r="367" ht="15">
      <c r="A367" s="21" t="s">
        <v>572</v>
      </c>
    </row>
    <row r="368" ht="15">
      <c r="A368" s="21" t="s">
        <v>377</v>
      </c>
    </row>
    <row r="369" ht="15">
      <c r="A369" s="21" t="s">
        <v>378</v>
      </c>
    </row>
    <row r="371" ht="15">
      <c r="A371" s="25" t="s">
        <v>503</v>
      </c>
    </row>
    <row r="372" spans="8:10" s="25" customFormat="1" ht="28.5" customHeight="1">
      <c r="H372" s="39" t="s">
        <v>691</v>
      </c>
      <c r="I372" s="39" t="s">
        <v>573</v>
      </c>
      <c r="J372" s="410" t="s">
        <v>567</v>
      </c>
    </row>
    <row r="373" s="25" customFormat="1" ht="14.25">
      <c r="A373" s="25" t="s">
        <v>323</v>
      </c>
    </row>
    <row r="374" spans="1:10" ht="15">
      <c r="A374" s="21" t="s">
        <v>223</v>
      </c>
      <c r="H374" s="34"/>
      <c r="I374" s="34">
        <v>4945275621</v>
      </c>
      <c r="J374" s="36">
        <f>I374+H374</f>
        <v>4945275621</v>
      </c>
    </row>
    <row r="375" spans="1:10" ht="15">
      <c r="A375" s="21" t="s">
        <v>226</v>
      </c>
      <c r="H375" s="34">
        <v>139830000</v>
      </c>
      <c r="I375" s="34"/>
      <c r="J375" s="36">
        <f>I375+H375</f>
        <v>139830000</v>
      </c>
    </row>
    <row r="376" spans="1:10" ht="15">
      <c r="A376" s="21" t="s">
        <v>227</v>
      </c>
      <c r="H376" s="36">
        <f>H374+H375</f>
        <v>139830000</v>
      </c>
      <c r="I376" s="36">
        <f>I374+I375</f>
        <v>4945275621</v>
      </c>
      <c r="J376" s="36">
        <f>J375+J374</f>
        <v>5085105621</v>
      </c>
    </row>
    <row r="377" s="25" customFormat="1" ht="14.25">
      <c r="A377" s="25" t="s">
        <v>570</v>
      </c>
    </row>
    <row r="378" spans="1:10" ht="15">
      <c r="A378" s="21" t="s">
        <v>223</v>
      </c>
      <c r="H378" s="34"/>
      <c r="I378" s="34">
        <v>257471267</v>
      </c>
      <c r="J378" s="36">
        <f>I378+H378</f>
        <v>257471267</v>
      </c>
    </row>
    <row r="379" spans="1:10" ht="15">
      <c r="A379" s="21" t="s">
        <v>228</v>
      </c>
      <c r="H379" s="34">
        <f>5575500+7827218</f>
        <v>13402718</v>
      </c>
      <c r="I379" s="34">
        <f>15671436+7000000</f>
        <v>22671436</v>
      </c>
      <c r="J379" s="34">
        <f>I379+H379</f>
        <v>36074154</v>
      </c>
    </row>
    <row r="380" spans="1:10" ht="15">
      <c r="A380" s="21" t="s">
        <v>227</v>
      </c>
      <c r="H380" s="36">
        <f>H378+H379</f>
        <v>13402718</v>
      </c>
      <c r="I380" s="36">
        <f>I378+I379</f>
        <v>280142703</v>
      </c>
      <c r="J380" s="36">
        <f>J379+J378</f>
        <v>293545421</v>
      </c>
    </row>
    <row r="381" s="25" customFormat="1" ht="14.25">
      <c r="A381" s="25" t="s">
        <v>229</v>
      </c>
    </row>
    <row r="382" spans="1:10" ht="15">
      <c r="A382" s="21" t="s">
        <v>710</v>
      </c>
      <c r="H382" s="36">
        <f>H374-H378</f>
        <v>0</v>
      </c>
      <c r="I382" s="36">
        <f>I374-I378</f>
        <v>4687804354</v>
      </c>
      <c r="J382" s="36">
        <f>H382</f>
        <v>0</v>
      </c>
    </row>
    <row r="383" spans="1:10" ht="15">
      <c r="A383" s="21" t="s">
        <v>571</v>
      </c>
      <c r="H383" s="36">
        <f>H376-H380</f>
        <v>126427282</v>
      </c>
      <c r="I383" s="36">
        <f>I376-I380</f>
        <v>4665132918</v>
      </c>
      <c r="J383" s="36">
        <f>J376-J380</f>
        <v>4791560200</v>
      </c>
    </row>
    <row r="385" spans="1:10" s="25" customFormat="1" ht="14.25">
      <c r="A385" s="25" t="s">
        <v>692</v>
      </c>
      <c r="H385" s="26" t="s">
        <v>214</v>
      </c>
      <c r="J385" s="394">
        <v>40179</v>
      </c>
    </row>
    <row r="386" spans="1:10" ht="15">
      <c r="A386" s="21" t="s">
        <v>230</v>
      </c>
      <c r="H386" s="34">
        <f>SUM(H387:H389)</f>
        <v>45441514029</v>
      </c>
      <c r="I386" s="34"/>
      <c r="J386" s="34">
        <f>SUM(J387:J389)</f>
        <v>1489842849</v>
      </c>
    </row>
    <row r="387" spans="1:10" s="32" customFormat="1" ht="15">
      <c r="A387" s="32" t="s">
        <v>233</v>
      </c>
      <c r="H387" s="35">
        <v>110332727</v>
      </c>
      <c r="J387" s="35">
        <v>110332727</v>
      </c>
    </row>
    <row r="388" spans="1:10" s="32" customFormat="1" ht="15">
      <c r="A388" s="32" t="s">
        <v>234</v>
      </c>
      <c r="H388" s="35"/>
      <c r="J388" s="35">
        <v>49000000</v>
      </c>
    </row>
    <row r="389" spans="1:10" s="32" customFormat="1" ht="15">
      <c r="A389" s="32" t="s">
        <v>693</v>
      </c>
      <c r="H389" s="35">
        <f>45441514029-110332727</f>
        <v>45331181302</v>
      </c>
      <c r="J389" s="35">
        <v>1330510122</v>
      </c>
    </row>
    <row r="390" spans="1:10" s="25" customFormat="1" ht="14.25">
      <c r="A390" s="25" t="s">
        <v>553</v>
      </c>
      <c r="H390" s="37">
        <f>SUM(H387:H389)</f>
        <v>45441514029</v>
      </c>
      <c r="I390" s="37"/>
      <c r="J390" s="37">
        <f>SUM(J387:J389)</f>
        <v>1489842849</v>
      </c>
    </row>
    <row r="391" spans="8:10" s="25" customFormat="1" ht="14.25">
      <c r="H391" s="37"/>
      <c r="I391" s="37"/>
      <c r="J391" s="37"/>
    </row>
    <row r="392" spans="1:10" s="25" customFormat="1" ht="14.25">
      <c r="A392" s="25" t="s">
        <v>694</v>
      </c>
      <c r="H392" s="26" t="s">
        <v>214</v>
      </c>
      <c r="J392" s="394">
        <v>40179</v>
      </c>
    </row>
    <row r="393" spans="1:10" s="25" customFormat="1" ht="15">
      <c r="A393" s="21" t="s">
        <v>695</v>
      </c>
      <c r="H393" s="36"/>
      <c r="I393" s="37"/>
      <c r="J393" s="36">
        <v>70000000</v>
      </c>
    </row>
    <row r="394" spans="1:10" s="25" customFormat="1" ht="15">
      <c r="A394" s="21"/>
      <c r="H394" s="36"/>
      <c r="I394" s="37"/>
      <c r="J394" s="36"/>
    </row>
    <row r="395" spans="1:10" s="25" customFormat="1" ht="28.5">
      <c r="A395" s="25" t="s">
        <v>504</v>
      </c>
      <c r="H395" s="37" t="s">
        <v>505</v>
      </c>
      <c r="I395" s="423" t="s">
        <v>506</v>
      </c>
      <c r="J395" s="37" t="s">
        <v>696</v>
      </c>
    </row>
    <row r="396" spans="1:10" s="25" customFormat="1" ht="15">
      <c r="A396" s="21" t="s">
        <v>697</v>
      </c>
      <c r="H396" s="36" t="s">
        <v>507</v>
      </c>
      <c r="I396" s="46">
        <v>1</v>
      </c>
      <c r="J396" s="46">
        <v>1</v>
      </c>
    </row>
    <row r="397" spans="1:10" s="25" customFormat="1" ht="15">
      <c r="A397" s="21" t="s">
        <v>699</v>
      </c>
      <c r="H397" s="36" t="s">
        <v>698</v>
      </c>
      <c r="I397" s="46">
        <v>1</v>
      </c>
      <c r="J397" s="46">
        <v>1</v>
      </c>
    </row>
    <row r="399" spans="1:10" s="25" customFormat="1" ht="14.25">
      <c r="A399" s="25" t="s">
        <v>700</v>
      </c>
      <c r="H399" s="26" t="s">
        <v>214</v>
      </c>
      <c r="J399" s="394">
        <v>40179</v>
      </c>
    </row>
    <row r="400" spans="1:10" ht="15">
      <c r="A400" s="21" t="s">
        <v>701</v>
      </c>
      <c r="H400" s="11">
        <v>28775355</v>
      </c>
      <c r="J400" s="73">
        <v>68181603</v>
      </c>
    </row>
    <row r="401" spans="1:10" ht="15">
      <c r="A401" s="21" t="s">
        <v>702</v>
      </c>
      <c r="H401" s="34">
        <v>7566927104</v>
      </c>
      <c r="J401" s="34">
        <v>1024510040</v>
      </c>
    </row>
    <row r="402" spans="1:10" s="25" customFormat="1" ht="14.25">
      <c r="A402" s="25" t="s">
        <v>553</v>
      </c>
      <c r="G402" s="37">
        <f>SUM(G400:G401)</f>
        <v>0</v>
      </c>
      <c r="H402" s="37">
        <f>SUM(H400:H401)</f>
        <v>7595702459</v>
      </c>
      <c r="I402" s="37"/>
      <c r="J402" s="37">
        <f>SUM(J400:J401)</f>
        <v>1092691643</v>
      </c>
    </row>
    <row r="403" spans="7:10" ht="15">
      <c r="G403" s="36"/>
      <c r="H403" s="36"/>
      <c r="I403" s="36"/>
      <c r="J403" s="36"/>
    </row>
    <row r="404" spans="1:10" s="25" customFormat="1" ht="14.25">
      <c r="A404" s="25" t="s">
        <v>703</v>
      </c>
      <c r="G404" s="37"/>
      <c r="H404" s="26" t="s">
        <v>214</v>
      </c>
      <c r="J404" s="394">
        <v>40179</v>
      </c>
    </row>
    <row r="405" spans="1:10" ht="15">
      <c r="A405" s="21" t="s">
        <v>704</v>
      </c>
      <c r="G405" s="36"/>
      <c r="H405" s="36"/>
      <c r="I405" s="36"/>
      <c r="J405" s="36">
        <v>117192536</v>
      </c>
    </row>
    <row r="406" spans="1:10" ht="15">
      <c r="A406" s="21" t="s">
        <v>705</v>
      </c>
      <c r="G406" s="36"/>
      <c r="H406" s="36"/>
      <c r="I406" s="36"/>
      <c r="J406" s="36"/>
    </row>
    <row r="407" spans="1:10" s="25" customFormat="1" ht="14.25">
      <c r="A407" s="25" t="s">
        <v>553</v>
      </c>
      <c r="G407" s="37"/>
      <c r="H407" s="37">
        <f>H405</f>
        <v>0</v>
      </c>
      <c r="I407" s="37"/>
      <c r="J407" s="37">
        <f>J405</f>
        <v>117192536</v>
      </c>
    </row>
    <row r="409" spans="1:10" s="25" customFormat="1" ht="14.25">
      <c r="A409" s="25" t="s">
        <v>235</v>
      </c>
      <c r="H409" s="26" t="s">
        <v>214</v>
      </c>
      <c r="J409" s="394">
        <v>40179</v>
      </c>
    </row>
    <row r="410" spans="1:10" s="72" customFormat="1" ht="15">
      <c r="A410" s="21" t="s">
        <v>236</v>
      </c>
      <c r="H410" s="73">
        <f>SUM(H411:H413)</f>
        <v>61872565715</v>
      </c>
      <c r="I410" s="73">
        <f>SUM(I411:I413)</f>
        <v>0</v>
      </c>
      <c r="J410" s="73">
        <f>SUM(J411:J413)</f>
        <v>37923268875</v>
      </c>
    </row>
    <row r="411" spans="1:10" s="32" customFormat="1" ht="15">
      <c r="A411" s="32" t="s">
        <v>574</v>
      </c>
      <c r="H411" s="35">
        <v>44833765715</v>
      </c>
      <c r="J411" s="35">
        <v>31073639917</v>
      </c>
    </row>
    <row r="412" spans="1:10" s="32" customFormat="1" ht="15">
      <c r="A412" s="32" t="s">
        <v>575</v>
      </c>
      <c r="H412" s="35"/>
      <c r="J412" s="35">
        <v>6849628958</v>
      </c>
    </row>
    <row r="413" spans="1:10" s="32" customFormat="1" ht="15">
      <c r="A413" s="32" t="s">
        <v>706</v>
      </c>
      <c r="H413" s="35">
        <f>62755115715-45716315715</f>
        <v>17038800000</v>
      </c>
      <c r="J413" s="35"/>
    </row>
    <row r="414" spans="1:11" ht="15">
      <c r="A414" s="21" t="s">
        <v>379</v>
      </c>
      <c r="H414" s="34">
        <v>882550000</v>
      </c>
      <c r="J414" s="34">
        <v>20675000000</v>
      </c>
      <c r="K414" s="21">
        <v>13337264000</v>
      </c>
    </row>
    <row r="415" spans="1:10" s="25" customFormat="1" ht="14.25">
      <c r="A415" s="25" t="s">
        <v>553</v>
      </c>
      <c r="G415" s="38">
        <f>G414+G410</f>
        <v>0</v>
      </c>
      <c r="H415" s="38">
        <f>H414+H410</f>
        <v>62755115715</v>
      </c>
      <c r="I415" s="38">
        <f>I414+I410</f>
        <v>0</v>
      </c>
      <c r="J415" s="38">
        <f>J414+J410</f>
        <v>58598268875</v>
      </c>
    </row>
    <row r="416" spans="1:10" s="25" customFormat="1" ht="15">
      <c r="A416" s="32" t="s">
        <v>406</v>
      </c>
      <c r="H416" s="38"/>
      <c r="I416" s="38"/>
      <c r="J416" s="38"/>
    </row>
    <row r="417" spans="1:10" s="25" customFormat="1" ht="15">
      <c r="A417" s="32" t="s">
        <v>380</v>
      </c>
      <c r="H417" s="38"/>
      <c r="I417" s="38"/>
      <c r="J417" s="38"/>
    </row>
    <row r="418" spans="1:10" s="25" customFormat="1" ht="15">
      <c r="A418" s="32" t="s">
        <v>381</v>
      </c>
      <c r="H418" s="38"/>
      <c r="I418" s="38"/>
      <c r="J418" s="38"/>
    </row>
    <row r="419" spans="1:10" s="25" customFormat="1" ht="15">
      <c r="A419" s="32"/>
      <c r="H419" s="38"/>
      <c r="I419" s="38"/>
      <c r="J419" s="38"/>
    </row>
    <row r="420" spans="1:10" s="25" customFormat="1" ht="15">
      <c r="A420" s="32"/>
      <c r="H420" s="38"/>
      <c r="I420" s="38"/>
      <c r="J420" s="38"/>
    </row>
    <row r="421" spans="1:10" s="25" customFormat="1" ht="15">
      <c r="A421" s="32"/>
      <c r="H421" s="38"/>
      <c r="I421" s="38"/>
      <c r="J421" s="38"/>
    </row>
    <row r="422" spans="1:10" s="25" customFormat="1" ht="15">
      <c r="A422" s="32"/>
      <c r="H422" s="38"/>
      <c r="I422" s="38"/>
      <c r="J422" s="38"/>
    </row>
    <row r="423" spans="1:10" ht="15">
      <c r="A423" s="25" t="s">
        <v>382</v>
      </c>
      <c r="H423" s="26" t="s">
        <v>214</v>
      </c>
      <c r="I423" s="25"/>
      <c r="J423" s="394">
        <v>40179</v>
      </c>
    </row>
    <row r="424" spans="1:10" ht="15">
      <c r="A424" s="25" t="s">
        <v>501</v>
      </c>
      <c r="G424" s="408">
        <f>SUM(G425:G430)</f>
        <v>0</v>
      </c>
      <c r="H424" s="408">
        <f>SUM(H425:H430)</f>
        <v>6687214463</v>
      </c>
      <c r="I424" s="408">
        <f>SUM(I425:I430)</f>
        <v>0</v>
      </c>
      <c r="J424" s="408">
        <f>SUM(J425:J430)</f>
        <v>8074932899</v>
      </c>
    </row>
    <row r="425" spans="1:10" ht="15">
      <c r="A425" s="21" t="s">
        <v>237</v>
      </c>
      <c r="H425" s="34"/>
      <c r="J425" s="34">
        <v>1505324778</v>
      </c>
    </row>
    <row r="426" spans="1:10" ht="15">
      <c r="A426" s="21" t="s">
        <v>238</v>
      </c>
      <c r="H426" s="34">
        <v>1016873637</v>
      </c>
      <c r="J426" s="34">
        <v>460180095</v>
      </c>
    </row>
    <row r="427" spans="1:10" ht="15">
      <c r="A427" s="21" t="s">
        <v>239</v>
      </c>
      <c r="H427" s="34">
        <v>734928551</v>
      </c>
      <c r="J427" s="34">
        <v>1479008680</v>
      </c>
    </row>
    <row r="428" spans="1:10" ht="15">
      <c r="A428" s="21" t="s">
        <v>240</v>
      </c>
      <c r="H428" s="34"/>
      <c r="J428" s="34">
        <v>2902189284</v>
      </c>
    </row>
    <row r="429" spans="1:10" ht="15">
      <c r="A429" s="21" t="s">
        <v>576</v>
      </c>
      <c r="H429" s="34">
        <v>4935412275</v>
      </c>
      <c r="J429" s="34">
        <v>1325378291</v>
      </c>
    </row>
    <row r="430" spans="1:10" ht="15">
      <c r="A430" s="21" t="s">
        <v>241</v>
      </c>
      <c r="H430" s="34"/>
      <c r="J430" s="34">
        <v>402851771</v>
      </c>
    </row>
    <row r="431" spans="1:10" s="25" customFormat="1" ht="14.25">
      <c r="A431" s="25" t="s">
        <v>508</v>
      </c>
      <c r="H431" s="38">
        <f>SUM(H432:H435)</f>
        <v>406875753</v>
      </c>
      <c r="I431" s="38">
        <f>SUM(I432:I435)</f>
        <v>0</v>
      </c>
      <c r="J431" s="38">
        <f>SUM(J432:J435)</f>
        <v>449150999</v>
      </c>
    </row>
    <row r="432" spans="1:10" s="25" customFormat="1" ht="15">
      <c r="A432" s="21" t="s">
        <v>237</v>
      </c>
      <c r="H432" s="38"/>
      <c r="I432" s="38"/>
      <c r="J432" s="34">
        <v>206832819</v>
      </c>
    </row>
    <row r="433" spans="1:10" s="25" customFormat="1" ht="15">
      <c r="A433" s="21" t="s">
        <v>239</v>
      </c>
      <c r="H433" s="34">
        <f>7094090216-6687214463</f>
        <v>406875753</v>
      </c>
      <c r="I433" s="38"/>
      <c r="J433" s="34">
        <v>136161425</v>
      </c>
    </row>
    <row r="434" spans="1:10" s="25" customFormat="1" ht="15">
      <c r="A434" s="21" t="s">
        <v>240</v>
      </c>
      <c r="H434" s="38"/>
      <c r="I434" s="38"/>
      <c r="J434" s="34">
        <v>14435149</v>
      </c>
    </row>
    <row r="435" spans="1:10" s="25" customFormat="1" ht="15">
      <c r="A435" s="21" t="s">
        <v>576</v>
      </c>
      <c r="H435" s="38"/>
      <c r="I435" s="38"/>
      <c r="J435" s="34">
        <v>91721606</v>
      </c>
    </row>
    <row r="436" spans="1:10" s="25" customFormat="1" ht="14.25">
      <c r="A436" s="25" t="s">
        <v>553</v>
      </c>
      <c r="G436" s="38">
        <f>G431+G424</f>
        <v>0</v>
      </c>
      <c r="H436" s="38">
        <f>H431+H424</f>
        <v>7094090216</v>
      </c>
      <c r="I436" s="38">
        <f>I431+I424</f>
        <v>0</v>
      </c>
      <c r="J436" s="38">
        <f>J431+J424</f>
        <v>8524083898</v>
      </c>
    </row>
    <row r="438" spans="1:10" ht="15">
      <c r="A438" s="25" t="s">
        <v>383</v>
      </c>
      <c r="H438" s="26" t="s">
        <v>214</v>
      </c>
      <c r="I438" s="25"/>
      <c r="J438" s="394">
        <v>40179</v>
      </c>
    </row>
    <row r="439" spans="1:10" ht="15">
      <c r="A439" s="21" t="s">
        <v>707</v>
      </c>
      <c r="H439" s="34">
        <v>30585101</v>
      </c>
      <c r="J439" s="34">
        <v>7796091</v>
      </c>
    </row>
    <row r="440" spans="1:10" ht="15">
      <c r="A440" s="21" t="s">
        <v>577</v>
      </c>
      <c r="H440" s="34">
        <f>SUM(H441:H446)</f>
        <v>15179224856</v>
      </c>
      <c r="I440" s="34">
        <f>SUM(I441:I444)</f>
        <v>0</v>
      </c>
      <c r="J440" s="34">
        <f>SUM(J441:J444)</f>
        <v>23646087225</v>
      </c>
    </row>
    <row r="441" spans="2:10" ht="15">
      <c r="B441" s="32" t="s">
        <v>612</v>
      </c>
      <c r="H441" s="35">
        <f>13866666922+273557934</f>
        <v>14140224856</v>
      </c>
      <c r="I441" s="34"/>
      <c r="J441" s="35">
        <v>16193283491</v>
      </c>
    </row>
    <row r="442" spans="2:10" s="32" customFormat="1" ht="15">
      <c r="B442" s="32" t="s">
        <v>242</v>
      </c>
      <c r="H442" s="35"/>
      <c r="J442" s="35">
        <v>5800000000</v>
      </c>
    </row>
    <row r="443" spans="2:10" s="32" customFormat="1" ht="15">
      <c r="B443" s="32" t="s">
        <v>708</v>
      </c>
      <c r="H443" s="35"/>
      <c r="J443" s="35">
        <v>1062230181</v>
      </c>
    </row>
    <row r="444" spans="2:10" s="32" customFormat="1" ht="15">
      <c r="B444" s="32" t="s">
        <v>709</v>
      </c>
      <c r="H444" s="35"/>
      <c r="J444" s="35">
        <v>590573553</v>
      </c>
    </row>
    <row r="445" spans="2:10" s="32" customFormat="1" ht="15">
      <c r="B445" s="32" t="s">
        <v>13</v>
      </c>
      <c r="H445" s="35">
        <v>39000000</v>
      </c>
      <c r="J445" s="35"/>
    </row>
    <row r="446" spans="2:10" s="32" customFormat="1" ht="15">
      <c r="B446" s="32" t="s">
        <v>14</v>
      </c>
      <c r="H446" s="35">
        <v>1000000000</v>
      </c>
      <c r="J446" s="35"/>
    </row>
    <row r="447" spans="1:10" s="25" customFormat="1" ht="14.25">
      <c r="A447" s="25" t="s">
        <v>553</v>
      </c>
      <c r="H447" s="38">
        <f>H440+H439</f>
        <v>15209809957</v>
      </c>
      <c r="I447" s="38">
        <f>I440+I439</f>
        <v>0</v>
      </c>
      <c r="J447" s="38">
        <f>J440+J439</f>
        <v>23653883316</v>
      </c>
    </row>
    <row r="449" s="25" customFormat="1" ht="14.25">
      <c r="A449" s="25" t="s">
        <v>243</v>
      </c>
    </row>
    <row r="450" s="25" customFormat="1" ht="14.25">
      <c r="A450" s="25" t="s">
        <v>244</v>
      </c>
    </row>
    <row r="451" spans="1:10" s="25" customFormat="1" ht="14.25">
      <c r="A451" s="25" t="s">
        <v>578</v>
      </c>
      <c r="H451" s="26" t="s">
        <v>214</v>
      </c>
      <c r="J451" s="394">
        <v>40179</v>
      </c>
    </row>
    <row r="452" spans="2:10" ht="15">
      <c r="B452" s="21" t="s">
        <v>245</v>
      </c>
      <c r="H452" s="34">
        <v>31079800000</v>
      </c>
      <c r="J452" s="34">
        <v>25000000000</v>
      </c>
    </row>
    <row r="453" spans="2:10" ht="15">
      <c r="B453" s="21" t="s">
        <v>358</v>
      </c>
      <c r="H453" s="34">
        <v>0</v>
      </c>
      <c r="J453" s="34">
        <v>-314300000</v>
      </c>
    </row>
    <row r="454" spans="1:10" s="25" customFormat="1" ht="14.25">
      <c r="A454" s="25" t="s">
        <v>553</v>
      </c>
      <c r="H454" s="38">
        <f>SUM(H452:H453)</f>
        <v>31079800000</v>
      </c>
      <c r="I454" s="38"/>
      <c r="J454" s="38">
        <f>SUM(J452:J453)</f>
        <v>24685700000</v>
      </c>
    </row>
    <row r="455" spans="2:10" ht="15">
      <c r="B455" s="21" t="s">
        <v>579</v>
      </c>
      <c r="H455" s="34"/>
      <c r="J455" s="34">
        <v>17960</v>
      </c>
    </row>
    <row r="456" spans="1:10" s="25" customFormat="1" ht="28.5">
      <c r="A456" s="25" t="s">
        <v>580</v>
      </c>
      <c r="H456" s="39" t="s">
        <v>246</v>
      </c>
      <c r="J456" s="39" t="s">
        <v>375</v>
      </c>
    </row>
    <row r="457" s="25" customFormat="1" ht="14.25">
      <c r="A457" s="25" t="s">
        <v>581</v>
      </c>
    </row>
    <row r="458" ht="15">
      <c r="A458" s="21" t="s">
        <v>582</v>
      </c>
    </row>
    <row r="459" spans="2:10" ht="15">
      <c r="B459" s="21" t="s">
        <v>247</v>
      </c>
      <c r="H459" s="34">
        <v>25000000000</v>
      </c>
      <c r="J459" s="34">
        <v>25000000000</v>
      </c>
    </row>
    <row r="460" spans="2:8" ht="15">
      <c r="B460" s="21" t="s">
        <v>248</v>
      </c>
      <c r="H460" s="34">
        <v>6079800000</v>
      </c>
    </row>
    <row r="461" ht="15">
      <c r="B461" s="21" t="s">
        <v>711</v>
      </c>
    </row>
    <row r="462" spans="2:10" ht="15">
      <c r="B462" s="21" t="s">
        <v>249</v>
      </c>
      <c r="H462" s="36">
        <f>H459+H460-H461</f>
        <v>31079800000</v>
      </c>
      <c r="I462" s="36">
        <f>I459+I460-I461</f>
        <v>0</v>
      </c>
      <c r="J462" s="36">
        <f>J459+J460-J461</f>
        <v>25000000000</v>
      </c>
    </row>
    <row r="463" spans="1:10" ht="15">
      <c r="A463" s="21" t="s">
        <v>583</v>
      </c>
      <c r="J463" s="34">
        <v>3968864000</v>
      </c>
    </row>
    <row r="464" ht="15">
      <c r="J464" s="34"/>
    </row>
    <row r="465" spans="1:10" ht="28.5">
      <c r="A465" s="25" t="s">
        <v>584</v>
      </c>
      <c r="H465" s="39" t="s">
        <v>246</v>
      </c>
      <c r="I465" s="25"/>
      <c r="J465" s="39" t="s">
        <v>375</v>
      </c>
    </row>
    <row r="466" ht="15">
      <c r="A466" s="21" t="s">
        <v>250</v>
      </c>
    </row>
    <row r="467" spans="2:10" s="32" customFormat="1" ht="15">
      <c r="B467" s="32" t="s">
        <v>585</v>
      </c>
      <c r="J467" s="420">
        <v>0.16</v>
      </c>
    </row>
    <row r="468" spans="2:10" s="32" customFormat="1" ht="15">
      <c r="B468" s="32" t="s">
        <v>251</v>
      </c>
      <c r="J468" s="420"/>
    </row>
    <row r="469" spans="1:10" ht="15">
      <c r="A469" s="21" t="s">
        <v>252</v>
      </c>
      <c r="J469" s="74"/>
    </row>
    <row r="470" ht="15">
      <c r="J470" s="74"/>
    </row>
    <row r="471" ht="15">
      <c r="J471" s="74"/>
    </row>
    <row r="472" ht="15">
      <c r="J472" s="74"/>
    </row>
    <row r="473" spans="1:10" ht="28.5">
      <c r="A473" s="25" t="s">
        <v>586</v>
      </c>
      <c r="H473" s="39" t="s">
        <v>246</v>
      </c>
      <c r="I473" s="25"/>
      <c r="J473" s="39" t="s">
        <v>375</v>
      </c>
    </row>
    <row r="474" spans="1:10" ht="15">
      <c r="A474" s="21" t="s">
        <v>587</v>
      </c>
      <c r="H474" s="34">
        <v>3107980</v>
      </c>
      <c r="J474" s="34">
        <v>2500000</v>
      </c>
    </row>
    <row r="475" spans="1:10" ht="15">
      <c r="A475" s="21" t="s">
        <v>253</v>
      </c>
      <c r="H475" s="34">
        <v>3107980</v>
      </c>
      <c r="J475" s="34">
        <v>2500000</v>
      </c>
    </row>
    <row r="476" spans="2:10" s="32" customFormat="1" ht="15">
      <c r="B476" s="32" t="s">
        <v>588</v>
      </c>
      <c r="H476" s="35">
        <v>3107980</v>
      </c>
      <c r="J476" s="35">
        <v>2500000</v>
      </c>
    </row>
    <row r="477" spans="1:10" ht="15">
      <c r="A477" s="21" t="s">
        <v>589</v>
      </c>
      <c r="H477" s="34"/>
      <c r="J477" s="34">
        <v>17960</v>
      </c>
    </row>
    <row r="478" spans="2:10" ht="15">
      <c r="B478" s="32" t="s">
        <v>588</v>
      </c>
      <c r="H478" s="34"/>
      <c r="J478" s="34">
        <v>17960</v>
      </c>
    </row>
    <row r="479" spans="1:10" ht="15">
      <c r="A479" s="21" t="s">
        <v>590</v>
      </c>
      <c r="H479" s="34">
        <f>H474-H477</f>
        <v>3107980</v>
      </c>
      <c r="J479" s="34">
        <f>J475-J477</f>
        <v>2482040</v>
      </c>
    </row>
    <row r="480" spans="2:10" ht="15">
      <c r="B480" s="32" t="s">
        <v>588</v>
      </c>
      <c r="H480" s="34">
        <v>3107980</v>
      </c>
      <c r="J480" s="34">
        <v>2482040</v>
      </c>
    </row>
    <row r="481" spans="1:10" ht="15">
      <c r="A481" s="21" t="s">
        <v>591</v>
      </c>
      <c r="H481" s="34">
        <v>10000</v>
      </c>
      <c r="J481" s="34">
        <v>10000</v>
      </c>
    </row>
    <row r="482" spans="8:10" ht="15">
      <c r="H482" s="34"/>
      <c r="J482" s="34"/>
    </row>
    <row r="483" spans="1:10" ht="15">
      <c r="A483" s="25" t="s">
        <v>254</v>
      </c>
      <c r="H483" s="26" t="s">
        <v>214</v>
      </c>
      <c r="I483" s="25"/>
      <c r="J483" s="394">
        <v>40179</v>
      </c>
    </row>
    <row r="484" spans="1:10" ht="15">
      <c r="A484" s="21" t="s">
        <v>606</v>
      </c>
      <c r="H484" s="34">
        <v>4711779854</v>
      </c>
      <c r="J484" s="34">
        <v>4686694386</v>
      </c>
    </row>
    <row r="485" spans="1:10" ht="15">
      <c r="A485" s="21" t="s">
        <v>607</v>
      </c>
      <c r="H485" s="34">
        <v>2627489405</v>
      </c>
      <c r="J485" s="34">
        <v>2614946955</v>
      </c>
    </row>
    <row r="486" spans="1:10" s="25" customFormat="1" ht="14.25">
      <c r="A486" s="25" t="s">
        <v>553</v>
      </c>
      <c r="H486" s="38">
        <f>SUM(H484:H485)</f>
        <v>7339269259</v>
      </c>
      <c r="I486" s="38">
        <f>SUM(I484:I485)</f>
        <v>0</v>
      </c>
      <c r="J486" s="38">
        <f>SUM(J484:J485)</f>
        <v>7301641341</v>
      </c>
    </row>
    <row r="487" spans="8:10" s="25" customFormat="1" ht="14.25">
      <c r="H487" s="38"/>
      <c r="I487" s="38"/>
      <c r="J487" s="38"/>
    </row>
    <row r="488" spans="1:10" ht="15">
      <c r="A488" s="21" t="s">
        <v>255</v>
      </c>
      <c r="H488" s="34"/>
      <c r="J488" s="34"/>
    </row>
    <row r="489" spans="1:10" s="32" customFormat="1" ht="15">
      <c r="A489" s="32" t="s">
        <v>256</v>
      </c>
      <c r="H489" s="35"/>
      <c r="J489" s="35"/>
    </row>
    <row r="490" spans="1:10" s="32" customFormat="1" ht="15">
      <c r="A490" s="32" t="s">
        <v>257</v>
      </c>
      <c r="H490" s="35"/>
      <c r="J490" s="35"/>
    </row>
    <row r="491" spans="1:10" s="32" customFormat="1" ht="15">
      <c r="A491" s="32" t="s">
        <v>258</v>
      </c>
      <c r="H491" s="35"/>
      <c r="J491" s="35"/>
    </row>
    <row r="492" spans="1:10" s="32" customFormat="1" ht="15">
      <c r="A492" s="32" t="s">
        <v>259</v>
      </c>
      <c r="H492" s="35"/>
      <c r="J492" s="35"/>
    </row>
    <row r="494" s="25" customFormat="1" ht="14.25">
      <c r="A494" s="25" t="s">
        <v>260</v>
      </c>
    </row>
    <row r="495" s="25" customFormat="1" ht="14.25"/>
    <row r="496" spans="1:10" s="25" customFormat="1" ht="28.5">
      <c r="A496" s="25" t="s">
        <v>385</v>
      </c>
      <c r="H496" s="39" t="s">
        <v>728</v>
      </c>
      <c r="J496" s="39" t="s">
        <v>246</v>
      </c>
    </row>
    <row r="497" spans="1:10" ht="15">
      <c r="A497" s="21" t="s">
        <v>550</v>
      </c>
      <c r="H497" s="34">
        <v>69899008311</v>
      </c>
      <c r="J497" s="34">
        <v>116070822584</v>
      </c>
    </row>
    <row r="498" spans="1:10" s="25" customFormat="1" ht="14.25">
      <c r="A498" s="25" t="s">
        <v>592</v>
      </c>
      <c r="H498" s="37">
        <f>H497</f>
        <v>69899008311</v>
      </c>
      <c r="J498" s="37">
        <f>J497</f>
        <v>116070822584</v>
      </c>
    </row>
    <row r="500" spans="1:10" ht="28.5">
      <c r="A500" s="25" t="s">
        <v>386</v>
      </c>
      <c r="H500" s="39" t="s">
        <v>728</v>
      </c>
      <c r="I500" s="25"/>
      <c r="J500" s="39" t="s">
        <v>246</v>
      </c>
    </row>
    <row r="501" spans="1:10" ht="15">
      <c r="A501" s="21" t="s">
        <v>387</v>
      </c>
      <c r="H501" s="34">
        <v>826214445</v>
      </c>
      <c r="J501" s="34">
        <v>863337679</v>
      </c>
    </row>
    <row r="502" spans="1:10" s="25" customFormat="1" ht="14.25">
      <c r="A502" s="25" t="s">
        <v>553</v>
      </c>
      <c r="H502" s="37">
        <f>H501</f>
        <v>826214445</v>
      </c>
      <c r="J502" s="37">
        <f>J501</f>
        <v>863337679</v>
      </c>
    </row>
    <row r="504" spans="1:10" s="25" customFormat="1" ht="28.5">
      <c r="A504" s="25" t="s">
        <v>388</v>
      </c>
      <c r="H504" s="39" t="s">
        <v>728</v>
      </c>
      <c r="J504" s="39" t="s">
        <v>246</v>
      </c>
    </row>
    <row r="505" spans="1:10" ht="15">
      <c r="A505" s="21" t="s">
        <v>593</v>
      </c>
      <c r="H505" s="36">
        <f>H498-H502</f>
        <v>69072793866</v>
      </c>
      <c r="I505" s="36">
        <f>I498-I502</f>
        <v>0</v>
      </c>
      <c r="J505" s="36">
        <f>J498-J502</f>
        <v>115207484905</v>
      </c>
    </row>
    <row r="506" spans="1:10" ht="15">
      <c r="A506" s="25" t="s">
        <v>553</v>
      </c>
      <c r="H506" s="37">
        <f>H505</f>
        <v>69072793866</v>
      </c>
      <c r="J506" s="37">
        <f>J505</f>
        <v>115207484905</v>
      </c>
    </row>
    <row r="508" spans="1:10" ht="28.5">
      <c r="A508" s="25" t="s">
        <v>389</v>
      </c>
      <c r="H508" s="39" t="s">
        <v>728</v>
      </c>
      <c r="I508" s="25"/>
      <c r="J508" s="39" t="s">
        <v>246</v>
      </c>
    </row>
    <row r="509" spans="1:10" ht="15">
      <c r="A509" s="21" t="s">
        <v>261</v>
      </c>
      <c r="H509" s="34">
        <v>45816859619</v>
      </c>
      <c r="J509" s="34">
        <v>73863715257</v>
      </c>
    </row>
    <row r="510" spans="1:10" ht="15">
      <c r="A510" s="25" t="s">
        <v>553</v>
      </c>
      <c r="H510" s="37">
        <f>H509</f>
        <v>45816859619</v>
      </c>
      <c r="J510" s="38">
        <f>J509</f>
        <v>73863715257</v>
      </c>
    </row>
    <row r="512" spans="1:10" ht="28.5">
      <c r="A512" s="25" t="s">
        <v>390</v>
      </c>
      <c r="H512" s="39" t="s">
        <v>728</v>
      </c>
      <c r="I512" s="25"/>
      <c r="J512" s="39" t="s">
        <v>246</v>
      </c>
    </row>
    <row r="513" spans="1:10" ht="15">
      <c r="A513" s="21" t="s">
        <v>262</v>
      </c>
      <c r="H513" s="34">
        <v>53730757</v>
      </c>
      <c r="J513" s="34">
        <v>472478277</v>
      </c>
    </row>
    <row r="514" spans="1:10" s="25" customFormat="1" ht="14.25">
      <c r="A514" s="25" t="s">
        <v>553</v>
      </c>
      <c r="H514" s="37">
        <f>SUM(H513:H513)</f>
        <v>53730757</v>
      </c>
      <c r="I514" s="37">
        <f>SUM(I513:I513)</f>
        <v>0</v>
      </c>
      <c r="J514" s="37">
        <f>SUM(J513:J513)</f>
        <v>472478277</v>
      </c>
    </row>
    <row r="516" spans="1:10" ht="28.5">
      <c r="A516" s="25" t="s">
        <v>391</v>
      </c>
      <c r="H516" s="39" t="s">
        <v>728</v>
      </c>
      <c r="I516" s="25"/>
      <c r="J516" s="39" t="s">
        <v>246</v>
      </c>
    </row>
    <row r="517" spans="1:10" ht="15">
      <c r="A517" s="21" t="s">
        <v>392</v>
      </c>
      <c r="H517" s="34">
        <v>2113615902</v>
      </c>
      <c r="J517" s="34">
        <v>5437278038</v>
      </c>
    </row>
    <row r="518" spans="1:10" ht="15">
      <c r="A518" s="21" t="s">
        <v>594</v>
      </c>
      <c r="H518" s="34">
        <f>2800846041-H517</f>
        <v>687230139</v>
      </c>
      <c r="J518" s="34">
        <f>7373719417-J517</f>
        <v>1936441379</v>
      </c>
    </row>
    <row r="519" spans="1:10" s="25" customFormat="1" ht="14.25">
      <c r="A519" s="25" t="s">
        <v>553</v>
      </c>
      <c r="H519" s="38">
        <f>SUM(H517:H518)</f>
        <v>2800846041</v>
      </c>
      <c r="I519" s="38">
        <f>SUM(I517:I518)</f>
        <v>0</v>
      </c>
      <c r="J519" s="38">
        <f>SUM(J517:J518)</f>
        <v>7373719417</v>
      </c>
    </row>
    <row r="521" spans="1:10" ht="28.5">
      <c r="A521" s="25" t="s">
        <v>393</v>
      </c>
      <c r="H521" s="39" t="s">
        <v>728</v>
      </c>
      <c r="I521" s="25"/>
      <c r="J521" s="39" t="s">
        <v>246</v>
      </c>
    </row>
    <row r="522" spans="1:10" ht="15">
      <c r="A522" s="21" t="s">
        <v>394</v>
      </c>
      <c r="H522" s="34"/>
      <c r="J522" s="34"/>
    </row>
    <row r="523" spans="1:10" ht="15">
      <c r="A523" s="21" t="s">
        <v>395</v>
      </c>
      <c r="H523" s="34"/>
      <c r="J523" s="34"/>
    </row>
    <row r="524" spans="1:10" ht="15">
      <c r="A524" s="21" t="s">
        <v>263</v>
      </c>
      <c r="H524" s="34">
        <f>H523+H522</f>
        <v>0</v>
      </c>
      <c r="I524" s="34"/>
      <c r="J524" s="34">
        <f>J523+J522</f>
        <v>0</v>
      </c>
    </row>
    <row r="525" spans="1:10" ht="15">
      <c r="A525" s="21" t="s">
        <v>509</v>
      </c>
      <c r="H525" s="34"/>
      <c r="J525" s="34"/>
    </row>
    <row r="526" spans="1:10" ht="15">
      <c r="A526" s="21" t="s">
        <v>264</v>
      </c>
      <c r="H526" s="34"/>
      <c r="J526" s="34"/>
    </row>
    <row r="527" spans="1:10" ht="15">
      <c r="A527" s="24" t="s">
        <v>265</v>
      </c>
      <c r="H527" s="34"/>
      <c r="J527" s="34"/>
    </row>
    <row r="528" spans="1:10" ht="15">
      <c r="A528" s="21" t="s">
        <v>266</v>
      </c>
      <c r="H528" s="34"/>
      <c r="J528" s="34"/>
    </row>
    <row r="530" spans="1:10" ht="28.5">
      <c r="A530" s="25" t="s">
        <v>267</v>
      </c>
      <c r="H530" s="39" t="s">
        <v>728</v>
      </c>
      <c r="I530" s="25"/>
      <c r="J530" s="39" t="s">
        <v>246</v>
      </c>
    </row>
    <row r="531" spans="1:10" ht="15">
      <c r="A531" s="21" t="s">
        <v>595</v>
      </c>
      <c r="H531" s="36">
        <f>50323354148+1000000000</f>
        <v>51323354148</v>
      </c>
      <c r="J531" s="36">
        <f>H531/2*3</f>
        <v>76985031222</v>
      </c>
    </row>
    <row r="532" spans="1:10" ht="15">
      <c r="A532" s="21" t="s">
        <v>596</v>
      </c>
      <c r="H532" s="34">
        <v>3709000000</v>
      </c>
      <c r="J532" s="36">
        <f>H532/2*3</f>
        <v>5563500000</v>
      </c>
    </row>
    <row r="533" spans="1:10" ht="15">
      <c r="A533" s="21" t="s">
        <v>597</v>
      </c>
      <c r="H533" s="34">
        <v>909181450</v>
      </c>
      <c r="J533" s="36">
        <f>H533/2*3</f>
        <v>1363772175</v>
      </c>
    </row>
    <row r="534" spans="1:10" ht="15">
      <c r="A534" s="21" t="s">
        <v>598</v>
      </c>
      <c r="H534" s="34">
        <v>10956348781</v>
      </c>
      <c r="J534" s="36">
        <f>H534/2*3</f>
        <v>16434523171.5</v>
      </c>
    </row>
    <row r="535" spans="1:10" ht="15">
      <c r="A535" s="21" t="s">
        <v>599</v>
      </c>
      <c r="H535" s="34">
        <v>2382159422</v>
      </c>
      <c r="J535" s="36">
        <f>H535/2*3</f>
        <v>3573239133</v>
      </c>
    </row>
    <row r="536" spans="1:10" s="25" customFormat="1" ht="14.25">
      <c r="A536" s="25" t="s">
        <v>553</v>
      </c>
      <c r="H536" s="38">
        <f>SUM(H531:H535)</f>
        <v>69280043801</v>
      </c>
      <c r="I536" s="38">
        <f>SUM(I531:I535)</f>
        <v>0</v>
      </c>
      <c r="J536" s="38">
        <f>SUM(J531:J535)</f>
        <v>103920065701.5</v>
      </c>
    </row>
    <row r="538" spans="1:10" ht="28.5">
      <c r="A538" s="25" t="s">
        <v>268</v>
      </c>
      <c r="H538" s="39" t="s">
        <v>728</v>
      </c>
      <c r="I538" s="25"/>
      <c r="J538" s="39" t="s">
        <v>246</v>
      </c>
    </row>
    <row r="539" spans="1:10" s="25" customFormat="1" ht="14.25">
      <c r="A539" s="25" t="s">
        <v>600</v>
      </c>
      <c r="H539" s="38"/>
      <c r="J539" s="38"/>
    </row>
    <row r="540" spans="1:10" s="25" customFormat="1" ht="14.25">
      <c r="A540" s="25" t="s">
        <v>269</v>
      </c>
      <c r="H540" s="38"/>
      <c r="J540" s="38"/>
    </row>
    <row r="541" spans="1:8" s="32" customFormat="1" ht="15">
      <c r="A541" s="421" t="s">
        <v>270</v>
      </c>
      <c r="H541" s="35"/>
    </row>
    <row r="542" spans="1:8" s="32" customFormat="1" ht="15">
      <c r="A542" s="32" t="s">
        <v>271</v>
      </c>
      <c r="H542" s="35"/>
    </row>
    <row r="543" spans="1:10" s="25" customFormat="1" ht="14.25">
      <c r="A543" s="25" t="s">
        <v>272</v>
      </c>
      <c r="H543" s="38">
        <v>3107980</v>
      </c>
      <c r="J543" s="38">
        <v>2482040</v>
      </c>
    </row>
    <row r="544" spans="1:10" s="25" customFormat="1" ht="14.25">
      <c r="A544" s="25" t="s">
        <v>273</v>
      </c>
      <c r="H544" s="38"/>
      <c r="J544" s="38"/>
    </row>
    <row r="545" spans="1:10" ht="15">
      <c r="A545" s="21" t="s">
        <v>274</v>
      </c>
      <c r="H545" s="34"/>
      <c r="J545" s="34"/>
    </row>
    <row r="546" spans="1:10" ht="15">
      <c r="A546" s="21" t="s">
        <v>601</v>
      </c>
      <c r="H546" s="34">
        <f>H540/H543</f>
        <v>0</v>
      </c>
      <c r="J546" s="34">
        <f>J539/J543</f>
        <v>0</v>
      </c>
    </row>
    <row r="548" ht="15">
      <c r="A548" s="25" t="s">
        <v>275</v>
      </c>
    </row>
    <row r="549" s="25" customFormat="1" ht="14.25">
      <c r="A549" s="25" t="s">
        <v>276</v>
      </c>
    </row>
    <row r="550" spans="1:10" s="26" customFormat="1" ht="42.75">
      <c r="A550" s="39" t="s">
        <v>277</v>
      </c>
      <c r="B550" s="39"/>
      <c r="C550" s="39"/>
      <c r="E550" s="39"/>
      <c r="F550" s="39" t="s">
        <v>278</v>
      </c>
      <c r="G550" s="39"/>
      <c r="H550" s="39" t="s">
        <v>279</v>
      </c>
      <c r="I550" s="39" t="s">
        <v>280</v>
      </c>
      <c r="J550" s="39" t="s">
        <v>569</v>
      </c>
    </row>
    <row r="551" spans="1:10" ht="15">
      <c r="A551" s="21" t="s">
        <v>281</v>
      </c>
      <c r="F551" s="21" t="s">
        <v>282</v>
      </c>
      <c r="J551" s="34"/>
    </row>
    <row r="552" spans="1:10" ht="15">
      <c r="A552" s="21" t="s">
        <v>611</v>
      </c>
      <c r="F552" s="21" t="s">
        <v>283</v>
      </c>
      <c r="J552" s="34"/>
    </row>
    <row r="553" spans="1:10" ht="15">
      <c r="A553" s="21" t="s">
        <v>284</v>
      </c>
      <c r="H553" s="21" t="s">
        <v>285</v>
      </c>
      <c r="J553" s="34"/>
    </row>
    <row r="554" spans="1:10" ht="15">
      <c r="A554" s="21" t="s">
        <v>286</v>
      </c>
      <c r="H554" s="21" t="s">
        <v>285</v>
      </c>
      <c r="J554" s="34"/>
    </row>
    <row r="555" ht="15">
      <c r="J555" s="34"/>
    </row>
    <row r="556" spans="1:10" ht="15">
      <c r="A556" s="25" t="s">
        <v>287</v>
      </c>
      <c r="J556" s="34"/>
    </row>
    <row r="557" spans="1:8" ht="15">
      <c r="A557" s="21" t="s">
        <v>288</v>
      </c>
      <c r="H557" s="34"/>
    </row>
    <row r="558" spans="1:8" ht="15">
      <c r="A558" s="21" t="s">
        <v>289</v>
      </c>
      <c r="H558" s="34"/>
    </row>
    <row r="559" spans="2:9" ht="15">
      <c r="B559" s="21" t="s">
        <v>290</v>
      </c>
      <c r="H559" s="34"/>
      <c r="I559" s="34">
        <v>1633913137</v>
      </c>
    </row>
    <row r="560" spans="2:9" ht="15">
      <c r="B560" s="13" t="s">
        <v>291</v>
      </c>
      <c r="H560" s="34"/>
      <c r="I560" s="34"/>
    </row>
    <row r="561" spans="2:9" ht="15">
      <c r="B561" s="21" t="s">
        <v>292</v>
      </c>
      <c r="H561" s="34"/>
      <c r="I561" s="34">
        <f>I559</f>
        <v>1633913137</v>
      </c>
    </row>
    <row r="562" spans="8:10" ht="15">
      <c r="H562" s="34"/>
      <c r="J562" s="34"/>
    </row>
    <row r="563" spans="1:10" ht="15">
      <c r="A563" s="25" t="s">
        <v>615</v>
      </c>
      <c r="H563" s="34"/>
      <c r="J563" s="34"/>
    </row>
    <row r="564" spans="1:10" ht="15">
      <c r="A564" s="21" t="s">
        <v>616</v>
      </c>
      <c r="H564" s="34"/>
      <c r="J564" s="34"/>
    </row>
    <row r="565" spans="1:10" ht="15">
      <c r="A565" s="21" t="s">
        <v>617</v>
      </c>
      <c r="H565" s="34"/>
      <c r="J565" s="34"/>
    </row>
    <row r="566" spans="2:10" ht="15">
      <c r="B566" s="21" t="s">
        <v>618</v>
      </c>
      <c r="H566" s="34"/>
      <c r="J566" s="34"/>
    </row>
    <row r="567" spans="2:10" ht="15">
      <c r="B567" s="21" t="s">
        <v>619</v>
      </c>
      <c r="H567" s="34"/>
      <c r="J567" s="34"/>
    </row>
    <row r="568" spans="8:10" ht="15">
      <c r="H568" s="34"/>
      <c r="J568" s="34"/>
    </row>
    <row r="569" spans="1:10" ht="15">
      <c r="A569" s="21" t="s">
        <v>620</v>
      </c>
      <c r="H569" s="34"/>
      <c r="J569" s="34"/>
    </row>
    <row r="570" spans="2:10" ht="15">
      <c r="B570" s="21" t="s">
        <v>621</v>
      </c>
      <c r="H570" s="34"/>
      <c r="J570" s="34"/>
    </row>
    <row r="571" spans="2:10" ht="15">
      <c r="B571" s="21" t="s">
        <v>622</v>
      </c>
      <c r="H571" s="34"/>
      <c r="J571" s="34"/>
    </row>
    <row r="572" ht="15">
      <c r="A572" s="21" t="s">
        <v>623</v>
      </c>
    </row>
    <row r="574" ht="15">
      <c r="I574" s="21" t="s">
        <v>15</v>
      </c>
    </row>
    <row r="575" spans="2:10" ht="15">
      <c r="B575" s="21" t="s">
        <v>602</v>
      </c>
      <c r="I575" s="450" t="s">
        <v>731</v>
      </c>
      <c r="J575" s="450"/>
    </row>
    <row r="576" spans="9:10" ht="15">
      <c r="I576" s="450"/>
      <c r="J576" s="450"/>
    </row>
    <row r="581" spans="2:10" ht="15">
      <c r="B581" s="21" t="s">
        <v>613</v>
      </c>
      <c r="I581" s="450"/>
      <c r="J581" s="450"/>
    </row>
  </sheetData>
  <sheetProtection/>
  <mergeCells count="3">
    <mergeCell ref="I576:J576"/>
    <mergeCell ref="I581:J581"/>
    <mergeCell ref="I575:J575"/>
  </mergeCells>
  <printOptions/>
  <pageMargins left="0.19" right="0.18" top="0.49" bottom="0.35" header="0.27" footer="0.2"/>
  <pageSetup horizontalDpi="600" verticalDpi="600" orientation="portrait" paperSize="9" scale="95"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dimension ref="A1:P27"/>
  <sheetViews>
    <sheetView zoomScalePageLayoutView="0" workbookViewId="0" topLeftCell="A4">
      <selection activeCell="O28" sqref="O28"/>
    </sheetView>
  </sheetViews>
  <sheetFormatPr defaultColWidth="9.00390625" defaultRowHeight="12.75"/>
  <cols>
    <col min="1" max="1" width="7.75390625" style="21" customWidth="1"/>
    <col min="2" max="2" width="20.125" style="21" customWidth="1"/>
    <col min="3" max="3" width="16.375" style="21" customWidth="1"/>
    <col min="4" max="4" width="1.00390625" style="21" customWidth="1"/>
    <col min="5" max="5" width="16.375" style="21" customWidth="1"/>
    <col min="6" max="6" width="1.75390625" style="21" customWidth="1"/>
    <col min="7" max="7" width="15.75390625" style="21" bestFit="1" customWidth="1"/>
    <col min="8" max="8" width="0.37109375" style="21" customWidth="1"/>
    <col min="9" max="9" width="15.875" style="21" customWidth="1"/>
    <col min="10" max="10" width="0.875" style="21" customWidth="1"/>
    <col min="11" max="11" width="17.875" style="21" customWidth="1"/>
    <col min="12" max="12" width="15.875" style="21" customWidth="1"/>
    <col min="13" max="13" width="18.00390625" style="21" customWidth="1"/>
    <col min="14" max="14" width="0.6171875" style="21" customWidth="1"/>
    <col min="15" max="15" width="18.00390625" style="21" customWidth="1"/>
    <col min="16" max="16" width="19.875" style="21" bestFit="1" customWidth="1"/>
    <col min="17" max="16384" width="9.125" style="21" customWidth="1"/>
  </cols>
  <sheetData>
    <row r="1" spans="1:9" s="25" customFormat="1" ht="14.25">
      <c r="A1" s="25" t="s">
        <v>402</v>
      </c>
      <c r="I1" s="25" t="s">
        <v>540</v>
      </c>
    </row>
    <row r="2" s="25" customFormat="1" ht="14.25">
      <c r="A2" s="25" t="s">
        <v>403</v>
      </c>
    </row>
    <row r="3" spans="1:9" s="25" customFormat="1" ht="15">
      <c r="A3" s="25" t="s">
        <v>723</v>
      </c>
      <c r="I3" s="32" t="s">
        <v>603</v>
      </c>
    </row>
    <row r="5" ht="15">
      <c r="A5" s="25" t="s">
        <v>243</v>
      </c>
    </row>
    <row r="6" ht="15">
      <c r="A6" s="25" t="s">
        <v>604</v>
      </c>
    </row>
    <row r="7" spans="1:15" s="41" customFormat="1" ht="42.75">
      <c r="A7" s="39" t="s">
        <v>562</v>
      </c>
      <c r="B7" s="40"/>
      <c r="C7" s="39" t="s">
        <v>624</v>
      </c>
      <c r="E7" s="39" t="s">
        <v>605</v>
      </c>
      <c r="G7" s="39" t="s">
        <v>358</v>
      </c>
      <c r="I7" s="39" t="s">
        <v>359</v>
      </c>
      <c r="K7" s="39" t="s">
        <v>606</v>
      </c>
      <c r="L7" s="39" t="s">
        <v>607</v>
      </c>
      <c r="M7" s="41" t="s">
        <v>608</v>
      </c>
      <c r="O7" s="39" t="s">
        <v>553</v>
      </c>
    </row>
    <row r="8" spans="1:15" s="25" customFormat="1" ht="14.25">
      <c r="A8" s="25" t="s">
        <v>625</v>
      </c>
      <c r="C8" s="38">
        <v>25000000000</v>
      </c>
      <c r="D8" s="38"/>
      <c r="E8" s="38">
        <v>6886448000</v>
      </c>
      <c r="F8" s="38"/>
      <c r="G8" s="38">
        <v>-314300000</v>
      </c>
      <c r="H8" s="38"/>
      <c r="I8" s="38"/>
      <c r="J8" s="38"/>
      <c r="K8" s="38">
        <v>2710849049</v>
      </c>
      <c r="L8" s="38">
        <v>1627024287</v>
      </c>
      <c r="M8" s="38">
        <v>15710247914</v>
      </c>
      <c r="N8" s="38"/>
      <c r="O8" s="38">
        <f>SUM(C8:N8)</f>
        <v>51620269250</v>
      </c>
    </row>
    <row r="9" spans="1:15" ht="15">
      <c r="A9" s="21" t="s">
        <v>626</v>
      </c>
      <c r="M9" s="34">
        <v>18023202891</v>
      </c>
      <c r="O9" s="34">
        <f>M9</f>
        <v>18023202891</v>
      </c>
    </row>
    <row r="10" spans="1:15" ht="15">
      <c r="A10" s="21" t="s">
        <v>627</v>
      </c>
      <c r="I10" s="34"/>
      <c r="K10" s="34">
        <v>1999617700</v>
      </c>
      <c r="L10" s="34">
        <v>999808581</v>
      </c>
      <c r="M10" s="36">
        <f>-(K10+L10)</f>
        <v>-2999426281</v>
      </c>
      <c r="O10" s="34">
        <f>I10</f>
        <v>0</v>
      </c>
    </row>
    <row r="11" spans="1:15" ht="15">
      <c r="A11" s="21" t="s">
        <v>628</v>
      </c>
      <c r="M11" s="34">
        <v>-1199770298</v>
      </c>
      <c r="O11" s="34">
        <f>M11</f>
        <v>-1199770298</v>
      </c>
    </row>
    <row r="12" spans="1:15" ht="15">
      <c r="A12" s="21" t="s">
        <v>629</v>
      </c>
      <c r="M12" s="34">
        <v>-524780242</v>
      </c>
      <c r="O12" s="34">
        <f>M12</f>
        <v>-524780242</v>
      </c>
    </row>
    <row r="13" spans="1:15" ht="15">
      <c r="A13" s="21" t="s">
        <v>630</v>
      </c>
      <c r="M13" s="34">
        <v>-199961716</v>
      </c>
      <c r="O13" s="34">
        <f>M13</f>
        <v>-199961716</v>
      </c>
    </row>
    <row r="14" spans="1:15" ht="15">
      <c r="A14" s="21" t="s">
        <v>642</v>
      </c>
      <c r="M14" s="34">
        <v>-3968864000</v>
      </c>
      <c r="O14" s="34">
        <f>M14</f>
        <v>-3968864000</v>
      </c>
    </row>
    <row r="15" spans="1:15" ht="15">
      <c r="A15" s="21" t="s">
        <v>631</v>
      </c>
      <c r="I15" s="34">
        <v>536483756</v>
      </c>
      <c r="M15" s="34"/>
      <c r="O15" s="34">
        <f>I15</f>
        <v>536483756</v>
      </c>
    </row>
    <row r="16" spans="1:15" ht="15">
      <c r="A16" s="21" t="s">
        <v>632</v>
      </c>
      <c r="M16" s="34">
        <v>-2132021120</v>
      </c>
      <c r="O16" s="34">
        <f>M16</f>
        <v>-2132021120</v>
      </c>
    </row>
    <row r="17" spans="1:15" ht="15">
      <c r="A17" s="21" t="s">
        <v>633</v>
      </c>
      <c r="M17" s="34"/>
      <c r="O17" s="34"/>
    </row>
    <row r="18" spans="1:16" s="25" customFormat="1" ht="14.25">
      <c r="A18" s="25" t="s">
        <v>634</v>
      </c>
      <c r="C18" s="37">
        <f>SUM(C8:C17)</f>
        <v>25000000000</v>
      </c>
      <c r="D18" s="37">
        <f aca="true" t="shared" si="0" ref="D18:J18">SUM(D8:D17)</f>
        <v>0</v>
      </c>
      <c r="E18" s="37">
        <f t="shared" si="0"/>
        <v>6886448000</v>
      </c>
      <c r="F18" s="37">
        <f t="shared" si="0"/>
        <v>0</v>
      </c>
      <c r="G18" s="37">
        <f t="shared" si="0"/>
        <v>-314300000</v>
      </c>
      <c r="H18" s="37">
        <f t="shared" si="0"/>
        <v>0</v>
      </c>
      <c r="I18" s="37">
        <f t="shared" si="0"/>
        <v>536483756</v>
      </c>
      <c r="J18" s="37">
        <f t="shared" si="0"/>
        <v>0</v>
      </c>
      <c r="K18" s="37">
        <f>SUM(K8:K17)</f>
        <v>4710466749</v>
      </c>
      <c r="L18" s="37">
        <f>SUM(L8:L17)</f>
        <v>2626832868</v>
      </c>
      <c r="M18" s="37">
        <f>SUM(M8:M17)</f>
        <v>22708627148</v>
      </c>
      <c r="N18" s="37">
        <f>SUM(N8:N17)</f>
        <v>0</v>
      </c>
      <c r="O18" s="37">
        <f>SUM(O8:O17)</f>
        <v>62154558521</v>
      </c>
      <c r="P18" s="38"/>
    </row>
    <row r="19" spans="13:16" ht="15">
      <c r="M19" s="34"/>
      <c r="O19" s="38"/>
      <c r="P19" s="36"/>
    </row>
    <row r="20" spans="1:15" s="25" customFormat="1" ht="14.25">
      <c r="A20" s="25" t="s">
        <v>635</v>
      </c>
      <c r="C20" s="38">
        <v>25000000000</v>
      </c>
      <c r="D20" s="38"/>
      <c r="E20" s="38">
        <v>6886448000</v>
      </c>
      <c r="F20" s="38"/>
      <c r="G20" s="38">
        <v>-314300000</v>
      </c>
      <c r="H20" s="38"/>
      <c r="I20" s="38">
        <f>I18</f>
        <v>536483756</v>
      </c>
      <c r="J20" s="38"/>
      <c r="K20" s="38">
        <f>K18</f>
        <v>4710466749</v>
      </c>
      <c r="L20" s="38">
        <f>L18</f>
        <v>2626832868</v>
      </c>
      <c r="M20" s="38">
        <f>M18</f>
        <v>22708627148</v>
      </c>
      <c r="N20" s="38"/>
      <c r="O20" s="38">
        <f>SUM(C20:M20)</f>
        <v>62154558521</v>
      </c>
    </row>
    <row r="21" spans="1:15" ht="15">
      <c r="A21" s="21" t="s">
        <v>636</v>
      </c>
      <c r="C21" s="34">
        <v>6079800000</v>
      </c>
      <c r="D21" s="34"/>
      <c r="E21" s="34"/>
      <c r="F21" s="34"/>
      <c r="G21" s="34"/>
      <c r="H21" s="34"/>
      <c r="I21" s="34"/>
      <c r="J21" s="34"/>
      <c r="K21" s="34"/>
      <c r="L21" s="34"/>
      <c r="M21" s="34"/>
      <c r="N21" s="34"/>
      <c r="O21" s="34">
        <f>C21</f>
        <v>6079800000</v>
      </c>
    </row>
    <row r="22" spans="1:15" ht="15">
      <c r="A22" s="21" t="s">
        <v>637</v>
      </c>
      <c r="E22" s="34">
        <v>9354300000</v>
      </c>
      <c r="O22" s="36">
        <f>E22</f>
        <v>9354300000</v>
      </c>
    </row>
    <row r="23" spans="1:15" ht="15">
      <c r="A23" s="21" t="s">
        <v>638</v>
      </c>
      <c r="G23" s="34">
        <v>314300000</v>
      </c>
      <c r="O23" s="36">
        <f>G23</f>
        <v>314300000</v>
      </c>
    </row>
    <row r="24" spans="1:15" ht="15">
      <c r="A24" s="21" t="s">
        <v>639</v>
      </c>
      <c r="M24" s="34">
        <v>-1457935835</v>
      </c>
      <c r="O24" s="36">
        <f>M24</f>
        <v>-1457935835</v>
      </c>
    </row>
    <row r="25" spans="1:15" ht="15">
      <c r="A25" s="21" t="s">
        <v>640</v>
      </c>
      <c r="I25" s="34">
        <v>-535146400</v>
      </c>
      <c r="K25" s="34">
        <v>1313105</v>
      </c>
      <c r="L25" s="34">
        <v>656537</v>
      </c>
      <c r="M25" s="34">
        <v>3976199207</v>
      </c>
      <c r="O25" s="36">
        <f>I25+K25+L25+M25</f>
        <v>3443022449</v>
      </c>
    </row>
    <row r="26" spans="1:16" s="25" customFormat="1" ht="14.25">
      <c r="A26" s="25" t="s">
        <v>641</v>
      </c>
      <c r="C26" s="37">
        <f>SUM(C21:C25)+C20</f>
        <v>31079800000</v>
      </c>
      <c r="D26" s="37">
        <f aca="true" t="shared" si="1" ref="D26:J26">SUM(D21:D25)+D20</f>
        <v>0</v>
      </c>
      <c r="E26" s="37">
        <f t="shared" si="1"/>
        <v>16240748000</v>
      </c>
      <c r="F26" s="37">
        <f t="shared" si="1"/>
        <v>0</v>
      </c>
      <c r="G26" s="37">
        <f t="shared" si="1"/>
        <v>0</v>
      </c>
      <c r="H26" s="37">
        <f t="shared" si="1"/>
        <v>0</v>
      </c>
      <c r="I26" s="37">
        <f t="shared" si="1"/>
        <v>1337356</v>
      </c>
      <c r="J26" s="37">
        <f t="shared" si="1"/>
        <v>0</v>
      </c>
      <c r="K26" s="37">
        <f>SUM(K21:K25)+K20</f>
        <v>4711779854</v>
      </c>
      <c r="L26" s="37">
        <f>SUM(L21:L25)+L20</f>
        <v>2627489405</v>
      </c>
      <c r="M26" s="37">
        <f>SUM(M21:M25)+M20</f>
        <v>25226890520</v>
      </c>
      <c r="N26" s="37">
        <f>SUM(N21:N25)+N20</f>
        <v>0</v>
      </c>
      <c r="O26" s="37">
        <f>SUM(O21:O25)+O20</f>
        <v>79888045135</v>
      </c>
      <c r="P26" s="38"/>
    </row>
    <row r="27" ht="15">
      <c r="P27" s="36"/>
    </row>
  </sheetData>
  <sheetProtection/>
  <printOptions/>
  <pageMargins left="0.31" right="0.2" top="0.39" bottom="0.35" header="0.26" footer="0.18"/>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N302"/>
  <sheetViews>
    <sheetView zoomScalePageLayoutView="0" workbookViewId="0" topLeftCell="A16">
      <selection activeCell="D48" sqref="D48"/>
    </sheetView>
  </sheetViews>
  <sheetFormatPr defaultColWidth="9.00390625" defaultRowHeight="12.75"/>
  <cols>
    <col min="1" max="1" width="1.875" style="387" customWidth="1"/>
    <col min="2" max="2" width="40.875" style="181" customWidth="1"/>
    <col min="3" max="3" width="20.00390625" style="181" customWidth="1"/>
    <col min="4" max="4" width="22.875" style="181" customWidth="1"/>
    <col min="5" max="5" width="18.375" style="181" customWidth="1"/>
    <col min="6" max="6" width="18.125" style="181" customWidth="1"/>
    <col min="7" max="7" width="16.75390625" style="181" customWidth="1"/>
    <col min="8" max="8" width="16.00390625" style="181" customWidth="1"/>
    <col min="9" max="9" width="14.625" style="192" customWidth="1"/>
    <col min="10" max="10" width="18.75390625" style="388" customWidth="1"/>
    <col min="11" max="11" width="15.375" style="389" customWidth="1"/>
    <col min="12" max="12" width="17.625" style="181" customWidth="1"/>
    <col min="13" max="13" width="16.00390625" style="181" customWidth="1"/>
    <col min="14" max="14" width="13.125" style="181" bestFit="1" customWidth="1"/>
    <col min="15" max="16384" width="9.125" style="181" customWidth="1"/>
  </cols>
  <sheetData>
    <row r="1" spans="1:14" ht="14.25">
      <c r="A1" s="175" t="s">
        <v>539</v>
      </c>
      <c r="B1" s="176"/>
      <c r="C1" s="176"/>
      <c r="D1" s="176"/>
      <c r="E1" s="176"/>
      <c r="F1" s="176"/>
      <c r="G1" s="176"/>
      <c r="H1" s="177" t="s">
        <v>540</v>
      </c>
      <c r="I1" s="176"/>
      <c r="J1" s="178"/>
      <c r="K1" s="179"/>
      <c r="L1" s="180"/>
      <c r="M1" s="180"/>
      <c r="N1" s="180"/>
    </row>
    <row r="2" spans="1:14" ht="9.75" customHeight="1">
      <c r="A2" s="175"/>
      <c r="B2" s="176"/>
      <c r="C2" s="176"/>
      <c r="D2" s="176"/>
      <c r="E2" s="176"/>
      <c r="F2" s="176"/>
      <c r="G2" s="176"/>
      <c r="H2" s="177"/>
      <c r="I2" s="176"/>
      <c r="J2" s="178"/>
      <c r="K2" s="179"/>
      <c r="L2" s="180"/>
      <c r="M2" s="180"/>
      <c r="N2" s="180"/>
    </row>
    <row r="3" spans="1:14" ht="18.75">
      <c r="A3" s="182" t="s">
        <v>403</v>
      </c>
      <c r="B3" s="183"/>
      <c r="C3" s="183"/>
      <c r="D3" s="183"/>
      <c r="E3" s="183"/>
      <c r="F3" s="183"/>
      <c r="G3" s="183"/>
      <c r="H3" s="184"/>
      <c r="I3" s="183"/>
      <c r="J3" s="184"/>
      <c r="K3" s="185"/>
      <c r="L3" s="180"/>
      <c r="M3" s="180"/>
      <c r="N3" s="180"/>
    </row>
    <row r="4" spans="1:14" ht="12.75">
      <c r="A4" s="390" t="s">
        <v>643</v>
      </c>
      <c r="B4" s="186"/>
      <c r="C4" s="186"/>
      <c r="D4" s="186"/>
      <c r="E4" s="186"/>
      <c r="F4" s="186"/>
      <c r="G4" s="186"/>
      <c r="H4" s="187" t="s">
        <v>603</v>
      </c>
      <c r="I4" s="176"/>
      <c r="J4" s="178"/>
      <c r="K4" s="177"/>
      <c r="L4" s="180"/>
      <c r="M4" s="180"/>
      <c r="N4" s="180"/>
    </row>
    <row r="5" spans="1:14" s="192" customFormat="1" ht="19.5" customHeight="1">
      <c r="A5" s="188"/>
      <c r="B5" s="189"/>
      <c r="C5" s="189"/>
      <c r="D5" s="189"/>
      <c r="E5" s="189"/>
      <c r="F5" s="189"/>
      <c r="G5" s="189"/>
      <c r="H5" s="189"/>
      <c r="I5" s="189"/>
      <c r="J5" s="189"/>
      <c r="K5" s="190"/>
      <c r="L5" s="191"/>
      <c r="M5" s="191"/>
      <c r="N5" s="191"/>
    </row>
    <row r="6" spans="1:14" s="199" customFormat="1" ht="18" customHeight="1">
      <c r="A6" s="193" t="s">
        <v>462</v>
      </c>
      <c r="B6" s="194"/>
      <c r="C6" s="193"/>
      <c r="D6" s="195"/>
      <c r="E6" s="196"/>
      <c r="F6" s="196"/>
      <c r="G6" s="197"/>
      <c r="H6" s="197"/>
      <c r="I6" s="197"/>
      <c r="J6" s="197"/>
      <c r="K6" s="198"/>
      <c r="L6" s="197"/>
      <c r="M6" s="197"/>
      <c r="N6" s="197"/>
    </row>
    <row r="7" spans="1:14" s="199" customFormat="1" ht="6.75" customHeight="1">
      <c r="A7" s="200"/>
      <c r="B7" s="194"/>
      <c r="C7" s="193"/>
      <c r="D7" s="195"/>
      <c r="E7" s="196"/>
      <c r="F7" s="196"/>
      <c r="G7" s="197"/>
      <c r="H7" s="197"/>
      <c r="I7" s="197"/>
      <c r="J7" s="197"/>
      <c r="K7" s="198"/>
      <c r="L7" s="197"/>
      <c r="M7" s="197"/>
      <c r="N7" s="197"/>
    </row>
    <row r="8" spans="1:14" s="199" customFormat="1" ht="18.75" customHeight="1">
      <c r="A8" s="451" t="s">
        <v>232</v>
      </c>
      <c r="B8" s="451"/>
      <c r="C8" s="451" t="s">
        <v>463</v>
      </c>
      <c r="D8" s="451"/>
      <c r="E8" s="451" t="s">
        <v>464</v>
      </c>
      <c r="F8" s="451"/>
      <c r="G8" s="454" t="s">
        <v>465</v>
      </c>
      <c r="H8" s="454" t="s">
        <v>466</v>
      </c>
      <c r="I8" s="197"/>
      <c r="J8" s="197"/>
      <c r="K8" s="201"/>
      <c r="L8" s="197"/>
      <c r="M8" s="197"/>
      <c r="N8" s="197"/>
    </row>
    <row r="9" spans="1:14" s="199" customFormat="1" ht="50.25" customHeight="1">
      <c r="A9" s="451"/>
      <c r="B9" s="451"/>
      <c r="C9" s="202" t="s">
        <v>437</v>
      </c>
      <c r="D9" s="202" t="s">
        <v>467</v>
      </c>
      <c r="E9" s="202" t="s">
        <v>468</v>
      </c>
      <c r="F9" s="202" t="s">
        <v>416</v>
      </c>
      <c r="G9" s="454"/>
      <c r="H9" s="454"/>
      <c r="I9" s="197"/>
      <c r="J9" s="197"/>
      <c r="K9" s="201"/>
      <c r="L9" s="197"/>
      <c r="M9" s="197"/>
      <c r="N9" s="197"/>
    </row>
    <row r="10" spans="1:14" s="199" customFormat="1" ht="16.5" customHeight="1">
      <c r="A10" s="457" t="s">
        <v>469</v>
      </c>
      <c r="B10" s="457"/>
      <c r="C10" s="203"/>
      <c r="D10" s="204"/>
      <c r="E10" s="204"/>
      <c r="F10" s="204"/>
      <c r="G10" s="204"/>
      <c r="H10" s="204"/>
      <c r="I10" s="205"/>
      <c r="J10" s="205"/>
      <c r="K10" s="206"/>
      <c r="L10" s="197"/>
      <c r="M10" s="197"/>
      <c r="N10" s="197"/>
    </row>
    <row r="11" spans="1:14" s="211" customFormat="1" ht="16.5" customHeight="1">
      <c r="A11" s="207" t="s">
        <v>470</v>
      </c>
      <c r="B11" s="207"/>
      <c r="C11" s="208">
        <f aca="true" t="shared" si="0" ref="C11:H11">SUM(C12:C15)</f>
        <v>3237055646</v>
      </c>
      <c r="D11" s="208">
        <f t="shared" si="0"/>
        <v>11584809804</v>
      </c>
      <c r="E11" s="208">
        <f t="shared" si="0"/>
        <v>3991743</v>
      </c>
      <c r="F11" s="208">
        <f t="shared" si="0"/>
        <v>168805597670</v>
      </c>
      <c r="G11" s="208">
        <f t="shared" si="0"/>
        <v>-13742509463</v>
      </c>
      <c r="H11" s="208">
        <f t="shared" si="0"/>
        <v>169888945400</v>
      </c>
      <c r="I11" s="209"/>
      <c r="J11" s="209"/>
      <c r="K11" s="210"/>
      <c r="L11" s="209"/>
      <c r="M11" s="209"/>
      <c r="N11" s="209"/>
    </row>
    <row r="12" spans="1:14" s="199" customFormat="1" ht="15" customHeight="1">
      <c r="A12" s="212"/>
      <c r="B12" s="213" t="s">
        <v>471</v>
      </c>
      <c r="C12" s="214">
        <v>8124668</v>
      </c>
      <c r="D12" s="215">
        <v>945232731</v>
      </c>
      <c r="E12" s="216">
        <v>3730029</v>
      </c>
      <c r="F12" s="216">
        <v>1600994952</v>
      </c>
      <c r="G12" s="215">
        <v>-3730029</v>
      </c>
      <c r="H12" s="215">
        <f>C12+D12+E12+F12+G12</f>
        <v>2554352351</v>
      </c>
      <c r="I12" s="197"/>
      <c r="J12" s="217"/>
      <c r="K12" s="218"/>
      <c r="L12" s="197"/>
      <c r="M12" s="197"/>
      <c r="N12" s="197"/>
    </row>
    <row r="13" spans="1:14" s="223" customFormat="1" ht="15" customHeight="1">
      <c r="A13" s="212"/>
      <c r="B13" s="213" t="s">
        <v>472</v>
      </c>
      <c r="C13" s="219">
        <v>2049175068</v>
      </c>
      <c r="D13" s="215">
        <v>7528720435</v>
      </c>
      <c r="E13" s="220"/>
      <c r="F13" s="220">
        <v>79270659753</v>
      </c>
      <c r="G13" s="220">
        <v>-13738517720</v>
      </c>
      <c r="H13" s="215">
        <f aca="true" t="shared" si="1" ref="H13:H22">C13+D13+E13+F13+G13</f>
        <v>75110037536</v>
      </c>
      <c r="I13" s="221"/>
      <c r="J13" s="222"/>
      <c r="K13" s="218"/>
      <c r="L13" s="221"/>
      <c r="M13" s="221"/>
      <c r="N13" s="221"/>
    </row>
    <row r="14" spans="1:14" s="228" customFormat="1" ht="17.25" customHeight="1">
      <c r="A14" s="212"/>
      <c r="B14" s="213" t="s">
        <v>473</v>
      </c>
      <c r="C14" s="216">
        <v>579906092</v>
      </c>
      <c r="D14" s="216">
        <v>2935769716</v>
      </c>
      <c r="E14" s="216"/>
      <c r="F14" s="224">
        <v>65899158966</v>
      </c>
      <c r="G14" s="216"/>
      <c r="H14" s="215">
        <f t="shared" si="1"/>
        <v>69414834774</v>
      </c>
      <c r="I14" s="217"/>
      <c r="J14" s="217"/>
      <c r="K14" s="225"/>
      <c r="L14" s="226"/>
      <c r="M14" s="227"/>
      <c r="N14" s="217"/>
    </row>
    <row r="15" spans="1:14" s="199" customFormat="1" ht="15" customHeight="1">
      <c r="A15" s="212"/>
      <c r="B15" s="213" t="s">
        <v>474</v>
      </c>
      <c r="C15" s="215">
        <v>599849818</v>
      </c>
      <c r="D15" s="215">
        <v>175086922</v>
      </c>
      <c r="E15" s="215">
        <v>261714</v>
      </c>
      <c r="F15" s="215">
        <v>22034783999</v>
      </c>
      <c r="G15" s="215">
        <v>-261714</v>
      </c>
      <c r="H15" s="215">
        <f t="shared" si="1"/>
        <v>22809720739</v>
      </c>
      <c r="I15" s="197"/>
      <c r="J15" s="222"/>
      <c r="K15" s="197"/>
      <c r="L15" s="197"/>
      <c r="M15" s="197"/>
      <c r="N15" s="229"/>
    </row>
    <row r="16" spans="1:14" s="199" customFormat="1" ht="15" customHeight="1">
      <c r="A16" s="230" t="s">
        <v>475</v>
      </c>
      <c r="B16" s="231"/>
      <c r="C16" s="232">
        <f aca="true" t="shared" si="2" ref="C16:H16">SUM(C17:C22)</f>
        <v>51651175044</v>
      </c>
      <c r="D16" s="232">
        <f t="shared" si="2"/>
        <v>14437798025</v>
      </c>
      <c r="E16" s="232">
        <f t="shared" si="2"/>
        <v>0</v>
      </c>
      <c r="F16" s="232">
        <f t="shared" si="2"/>
        <v>21730671176</v>
      </c>
      <c r="G16" s="232">
        <f t="shared" si="2"/>
        <v>-12929631172</v>
      </c>
      <c r="H16" s="232">
        <f t="shared" si="2"/>
        <v>74890013073</v>
      </c>
      <c r="I16" s="197"/>
      <c r="J16" s="222"/>
      <c r="K16" s="201"/>
      <c r="L16" s="197"/>
      <c r="M16" s="197"/>
      <c r="N16" s="197"/>
    </row>
    <row r="17" spans="1:14" s="199" customFormat="1" ht="15" customHeight="1">
      <c r="A17" s="212"/>
      <c r="B17" s="213" t="s">
        <v>476</v>
      </c>
      <c r="C17" s="216"/>
      <c r="D17" s="215"/>
      <c r="E17" s="233"/>
      <c r="F17" s="233">
        <v>13204399808</v>
      </c>
      <c r="G17" s="215"/>
      <c r="H17" s="215">
        <f t="shared" si="1"/>
        <v>13204399808</v>
      </c>
      <c r="I17" s="197"/>
      <c r="J17" s="222"/>
      <c r="K17" s="218"/>
      <c r="L17" s="197"/>
      <c r="M17" s="197"/>
      <c r="N17" s="197"/>
    </row>
    <row r="18" spans="1:14" s="199" customFormat="1" ht="15" customHeight="1">
      <c r="A18" s="212"/>
      <c r="B18" s="213" t="s">
        <v>477</v>
      </c>
      <c r="C18" s="216">
        <v>193378264</v>
      </c>
      <c r="D18" s="216">
        <v>144217918</v>
      </c>
      <c r="E18" s="233"/>
      <c r="F18" s="233">
        <v>3449240395</v>
      </c>
      <c r="G18" s="215"/>
      <c r="H18" s="215">
        <f t="shared" si="1"/>
        <v>3786836577</v>
      </c>
      <c r="I18" s="197"/>
      <c r="J18" s="222"/>
      <c r="K18" s="218"/>
      <c r="L18" s="197"/>
      <c r="M18" s="197"/>
      <c r="N18" s="197"/>
    </row>
    <row r="19" spans="1:14" s="199" customFormat="1" ht="15" customHeight="1">
      <c r="A19" s="212"/>
      <c r="B19" s="213" t="s">
        <v>478</v>
      </c>
      <c r="C19" s="216"/>
      <c r="D19" s="234"/>
      <c r="E19" s="233"/>
      <c r="F19" s="233">
        <v>4791560200</v>
      </c>
      <c r="G19" s="215"/>
      <c r="H19" s="215">
        <f t="shared" si="1"/>
        <v>4791560200</v>
      </c>
      <c r="I19" s="197"/>
      <c r="J19" s="222"/>
      <c r="K19" s="218"/>
      <c r="L19" s="197"/>
      <c r="M19" s="197"/>
      <c r="N19" s="197"/>
    </row>
    <row r="20" spans="1:14" s="192" customFormat="1" ht="12.75">
      <c r="A20" s="212"/>
      <c r="B20" s="213" t="s">
        <v>479</v>
      </c>
      <c r="C20" s="216">
        <v>43897495876</v>
      </c>
      <c r="D20" s="236">
        <v>1357322735</v>
      </c>
      <c r="E20" s="235"/>
      <c r="F20" s="236">
        <v>186695418</v>
      </c>
      <c r="G20" s="235"/>
      <c r="H20" s="215">
        <f t="shared" si="1"/>
        <v>45441514029</v>
      </c>
      <c r="I20" s="237"/>
      <c r="J20" s="237"/>
      <c r="K20" s="179"/>
      <c r="L20" s="191"/>
      <c r="M20" s="191"/>
      <c r="N20" s="191"/>
    </row>
    <row r="21" spans="1:14" s="192" customFormat="1" ht="12.75">
      <c r="A21" s="212"/>
      <c r="B21" s="213" t="s">
        <v>231</v>
      </c>
      <c r="C21" s="216"/>
      <c r="D21" s="215">
        <v>12929631172</v>
      </c>
      <c r="E21" s="236"/>
      <c r="F21" s="236">
        <v>70000000</v>
      </c>
      <c r="G21" s="236">
        <v>-12929631172</v>
      </c>
      <c r="H21" s="215">
        <f t="shared" si="1"/>
        <v>70000000</v>
      </c>
      <c r="I21" s="238"/>
      <c r="J21" s="238"/>
      <c r="K21" s="239"/>
      <c r="L21" s="191"/>
      <c r="M21" s="191"/>
      <c r="N21" s="191"/>
    </row>
    <row r="22" spans="1:14" s="192" customFormat="1" ht="12.75">
      <c r="A22" s="212"/>
      <c r="B22" s="213" t="s">
        <v>480</v>
      </c>
      <c r="C22" s="216">
        <v>7560300904</v>
      </c>
      <c r="D22" s="240">
        <v>6626200</v>
      </c>
      <c r="E22" s="240"/>
      <c r="F22" s="240">
        <v>28775355</v>
      </c>
      <c r="G22" s="240"/>
      <c r="H22" s="215">
        <f t="shared" si="1"/>
        <v>7595702459</v>
      </c>
      <c r="I22" s="241"/>
      <c r="J22" s="241"/>
      <c r="K22" s="242"/>
      <c r="L22" s="191"/>
      <c r="M22" s="191"/>
      <c r="N22" s="191"/>
    </row>
    <row r="23" spans="1:14" s="249" customFormat="1" ht="15.75" customHeight="1">
      <c r="A23" s="230" t="s">
        <v>481</v>
      </c>
      <c r="B23" s="231"/>
      <c r="C23" s="243">
        <f aca="true" t="shared" si="3" ref="C23:H23">C11+C16</f>
        <v>54888230690</v>
      </c>
      <c r="D23" s="243">
        <f>D11+D16+1</f>
        <v>26022607830</v>
      </c>
      <c r="E23" s="243">
        <f t="shared" si="3"/>
        <v>3991743</v>
      </c>
      <c r="F23" s="243">
        <f t="shared" si="3"/>
        <v>190536268846</v>
      </c>
      <c r="G23" s="243">
        <f t="shared" si="3"/>
        <v>-26672140635</v>
      </c>
      <c r="H23" s="244">
        <f t="shared" si="3"/>
        <v>244778958473</v>
      </c>
      <c r="I23" s="245"/>
      <c r="J23" s="246"/>
      <c r="K23" s="247"/>
      <c r="L23" s="248"/>
      <c r="M23" s="248"/>
      <c r="N23" s="248"/>
    </row>
    <row r="24" spans="1:14" s="192" customFormat="1" ht="20.25" customHeight="1">
      <c r="A24" s="452" t="s">
        <v>482</v>
      </c>
      <c r="B24" s="453"/>
      <c r="C24" s="240"/>
      <c r="D24" s="240"/>
      <c r="E24" s="240"/>
      <c r="F24" s="240"/>
      <c r="G24" s="250"/>
      <c r="H24" s="251"/>
      <c r="I24" s="252"/>
      <c r="J24" s="253"/>
      <c r="K24" s="247"/>
      <c r="L24" s="191"/>
      <c r="M24" s="191"/>
      <c r="N24" s="191"/>
    </row>
    <row r="25" spans="1:14" s="249" customFormat="1" ht="12.75">
      <c r="A25" s="254" t="s">
        <v>483</v>
      </c>
      <c r="B25" s="255"/>
      <c r="C25" s="256">
        <f aca="true" t="shared" si="4" ref="C25:H25">SUM(C26:C27)</f>
        <v>41081656783</v>
      </c>
      <c r="D25" s="256">
        <f t="shared" si="4"/>
        <v>12522186324</v>
      </c>
      <c r="E25" s="256">
        <f t="shared" si="4"/>
        <v>0</v>
      </c>
      <c r="F25" s="256">
        <f t="shared" si="4"/>
        <v>111287070230</v>
      </c>
      <c r="G25" s="256">
        <f t="shared" si="4"/>
        <v>0</v>
      </c>
      <c r="H25" s="256">
        <f t="shared" si="4"/>
        <v>164890913337</v>
      </c>
      <c r="I25" s="257"/>
      <c r="J25" s="257"/>
      <c r="K25" s="258"/>
      <c r="L25" s="248"/>
      <c r="M25" s="248"/>
      <c r="N25" s="248"/>
    </row>
    <row r="26" spans="1:14" s="192" customFormat="1" ht="12.75">
      <c r="A26" s="212"/>
      <c r="B26" s="213" t="s">
        <v>484</v>
      </c>
      <c r="C26" s="216">
        <v>41081656783</v>
      </c>
      <c r="D26" s="236">
        <v>12222392424</v>
      </c>
      <c r="E26" s="236">
        <v>0</v>
      </c>
      <c r="F26" s="236">
        <v>110895226498</v>
      </c>
      <c r="G26" s="236"/>
      <c r="H26" s="215">
        <f>C26+D26+E26+F26+G26</f>
        <v>164199275705</v>
      </c>
      <c r="I26" s="238"/>
      <c r="J26" s="191"/>
      <c r="K26" s="259"/>
      <c r="L26" s="191"/>
      <c r="M26" s="191"/>
      <c r="N26" s="191"/>
    </row>
    <row r="27" spans="1:14" s="192" customFormat="1" ht="12.75">
      <c r="A27" s="212"/>
      <c r="B27" s="213" t="s">
        <v>485</v>
      </c>
      <c r="C27" s="236"/>
      <c r="D27" s="236">
        <v>299793900</v>
      </c>
      <c r="E27" s="236"/>
      <c r="F27" s="236">
        <v>391843732</v>
      </c>
      <c r="G27" s="236"/>
      <c r="H27" s="215">
        <f>C27+D27+E27+F27+G27</f>
        <v>691637632</v>
      </c>
      <c r="I27" s="260"/>
      <c r="J27" s="260"/>
      <c r="K27" s="261"/>
      <c r="L27" s="191"/>
      <c r="M27" s="191"/>
      <c r="N27" s="191"/>
    </row>
    <row r="28" spans="1:14" s="192" customFormat="1" ht="12.75">
      <c r="A28" s="230" t="s">
        <v>486</v>
      </c>
      <c r="B28" s="231"/>
      <c r="C28" s="243">
        <f aca="true" t="shared" si="5" ref="C28:H28">SUM(C29:C30)</f>
        <v>13806573907</v>
      </c>
      <c r="D28" s="243">
        <f t="shared" si="5"/>
        <v>13500421506</v>
      </c>
      <c r="E28" s="243">
        <f t="shared" si="5"/>
        <v>3991743</v>
      </c>
      <c r="F28" s="243">
        <f t="shared" si="5"/>
        <v>79249198616</v>
      </c>
      <c r="G28" s="243">
        <f t="shared" si="5"/>
        <v>-26672140637</v>
      </c>
      <c r="H28" s="243">
        <f t="shared" si="5"/>
        <v>79888045135</v>
      </c>
      <c r="I28" s="262"/>
      <c r="J28" s="263"/>
      <c r="K28" s="264"/>
      <c r="L28" s="191"/>
      <c r="M28" s="191"/>
      <c r="N28" s="191"/>
    </row>
    <row r="29" spans="1:14" s="192" customFormat="1" ht="12.75">
      <c r="A29" s="230"/>
      <c r="B29" s="231" t="s">
        <v>487</v>
      </c>
      <c r="C29" s="216">
        <v>13806573907</v>
      </c>
      <c r="D29" s="240">
        <v>13500421506</v>
      </c>
      <c r="E29" s="240">
        <v>3991743</v>
      </c>
      <c r="F29" s="240">
        <v>79249198616</v>
      </c>
      <c r="G29" s="265">
        <v>-26672140637</v>
      </c>
      <c r="H29" s="215">
        <f>C29+D29+E29+F29+G29</f>
        <v>79888045135</v>
      </c>
      <c r="I29" s="262"/>
      <c r="J29" s="266"/>
      <c r="K29" s="267"/>
      <c r="L29" s="191"/>
      <c r="M29" s="191"/>
      <c r="N29" s="191"/>
    </row>
    <row r="30" spans="1:14" s="192" customFormat="1" ht="12.75">
      <c r="A30" s="230"/>
      <c r="B30" s="231" t="s">
        <v>488</v>
      </c>
      <c r="C30" s="268">
        <v>0</v>
      </c>
      <c r="D30" s="269">
        <v>0</v>
      </c>
      <c r="E30" s="270"/>
      <c r="F30" s="270"/>
      <c r="G30" s="271"/>
      <c r="H30" s="215">
        <f>C30+D30+E30+F30+G30</f>
        <v>0</v>
      </c>
      <c r="I30" s="262"/>
      <c r="J30" s="191"/>
      <c r="K30" s="272"/>
      <c r="L30" s="191"/>
      <c r="M30" s="191"/>
      <c r="N30" s="191"/>
    </row>
    <row r="31" spans="1:14" s="249" customFormat="1" ht="15.75" customHeight="1" thickBot="1">
      <c r="A31" s="273" t="s">
        <v>489</v>
      </c>
      <c r="B31" s="274"/>
      <c r="C31" s="275">
        <f>C25+C28</f>
        <v>54888230690</v>
      </c>
      <c r="D31" s="275">
        <f>D25+D28</f>
        <v>26022607830</v>
      </c>
      <c r="E31" s="275">
        <f>E25+E28</f>
        <v>3991743</v>
      </c>
      <c r="F31" s="275">
        <f>F25+F28</f>
        <v>190536268846</v>
      </c>
      <c r="G31" s="275">
        <f>G25+G28</f>
        <v>-26672140637</v>
      </c>
      <c r="H31" s="275">
        <f>H25+H28+1</f>
        <v>244778958473</v>
      </c>
      <c r="I31" s="245"/>
      <c r="J31" s="246"/>
      <c r="K31" s="247"/>
      <c r="L31" s="248"/>
      <c r="M31" s="248"/>
      <c r="N31" s="248"/>
    </row>
    <row r="32" spans="1:14" s="281" customFormat="1" ht="13.5" thickTop="1">
      <c r="A32" s="276"/>
      <c r="B32" s="277"/>
      <c r="C32" s="424">
        <f>C31-C23</f>
        <v>0</v>
      </c>
      <c r="D32" s="424">
        <f>D31-D23</f>
        <v>0</v>
      </c>
      <c r="E32" s="424">
        <f>E31-E23</f>
        <v>0</v>
      </c>
      <c r="F32" s="424">
        <f>F31-F23</f>
        <v>0</v>
      </c>
      <c r="G32" s="424"/>
      <c r="H32" s="424">
        <f>H31-H23</f>
        <v>0</v>
      </c>
      <c r="I32" s="278"/>
      <c r="J32" s="277"/>
      <c r="K32" s="279"/>
      <c r="L32" s="280"/>
      <c r="M32" s="280"/>
      <c r="N32" s="280"/>
    </row>
    <row r="33" spans="1:14" s="396" customFormat="1" ht="12.75">
      <c r="A33" s="193" t="s">
        <v>490</v>
      </c>
      <c r="B33" s="282"/>
      <c r="C33" s="283"/>
      <c r="D33" s="283"/>
      <c r="E33" s="191"/>
      <c r="F33" s="191"/>
      <c r="G33" s="284"/>
      <c r="H33" s="284"/>
      <c r="I33" s="266"/>
      <c r="J33" s="245"/>
      <c r="K33" s="179"/>
      <c r="L33" s="191"/>
      <c r="M33" s="191"/>
      <c r="N33" s="191"/>
    </row>
    <row r="34" spans="1:14" ht="12.75">
      <c r="A34" s="285"/>
      <c r="B34" s="286"/>
      <c r="C34" s="287"/>
      <c r="D34" s="287"/>
      <c r="E34" s="245"/>
      <c r="F34" s="245"/>
      <c r="G34" s="266"/>
      <c r="H34" s="266"/>
      <c r="I34" s="266"/>
      <c r="J34" s="191"/>
      <c r="K34" s="179"/>
      <c r="L34" s="180"/>
      <c r="M34" s="180"/>
      <c r="N34" s="180"/>
    </row>
    <row r="35" spans="1:14" ht="12.75">
      <c r="A35" s="451" t="s">
        <v>407</v>
      </c>
      <c r="B35" s="451"/>
      <c r="C35" s="451" t="s">
        <v>463</v>
      </c>
      <c r="D35" s="451"/>
      <c r="E35" s="451" t="s">
        <v>464</v>
      </c>
      <c r="F35" s="451"/>
      <c r="G35" s="458" t="s">
        <v>465</v>
      </c>
      <c r="H35" s="458" t="s">
        <v>466</v>
      </c>
      <c r="I35" s="266"/>
      <c r="J35" s="191"/>
      <c r="K35" s="179"/>
      <c r="L35" s="180"/>
      <c r="M35" s="180"/>
      <c r="N35" s="180"/>
    </row>
    <row r="36" spans="1:14" ht="51.75" customHeight="1">
      <c r="A36" s="451"/>
      <c r="B36" s="451"/>
      <c r="C36" s="202" t="s">
        <v>437</v>
      </c>
      <c r="D36" s="395" t="s">
        <v>491</v>
      </c>
      <c r="E36" s="395" t="s">
        <v>468</v>
      </c>
      <c r="F36" s="395" t="s">
        <v>416</v>
      </c>
      <c r="G36" s="458"/>
      <c r="H36" s="458"/>
      <c r="I36" s="266"/>
      <c r="J36" s="191"/>
      <c r="K36" s="179"/>
      <c r="L36" s="180"/>
      <c r="M36" s="180"/>
      <c r="N36" s="180"/>
    </row>
    <row r="37" spans="1:14" s="295" customFormat="1" ht="12.75">
      <c r="A37" s="288">
        <v>1</v>
      </c>
      <c r="B37" s="289" t="s">
        <v>492</v>
      </c>
      <c r="C37" s="290">
        <v>0</v>
      </c>
      <c r="D37" s="290">
        <f>9182191145-37899971+66415160+105857710</f>
        <v>9316564044</v>
      </c>
      <c r="E37" s="290">
        <f>152031</f>
        <v>152031</v>
      </c>
      <c r="F37" s="290">
        <f>116863971205-826214445+367796241</f>
        <v>116405553001</v>
      </c>
      <c r="G37" s="290">
        <v>531059176</v>
      </c>
      <c r="H37" s="216">
        <f>SUM(C37:G37)</f>
        <v>126253328252</v>
      </c>
      <c r="I37" s="291"/>
      <c r="J37" s="292"/>
      <c r="K37" s="293"/>
      <c r="L37" s="294"/>
      <c r="M37" s="294"/>
      <c r="N37" s="294"/>
    </row>
    <row r="38" spans="1:14" s="295" customFormat="1" ht="12.75">
      <c r="A38" s="288">
        <v>2</v>
      </c>
      <c r="B38" s="289" t="s">
        <v>493</v>
      </c>
      <c r="C38" s="296">
        <v>0</v>
      </c>
      <c r="D38" s="297"/>
      <c r="E38" s="290"/>
      <c r="F38" s="290"/>
      <c r="G38" s="297"/>
      <c r="H38" s="216">
        <f aca="true" t="shared" si="6" ref="H38:H43">SUM(C38:G38)</f>
        <v>0</v>
      </c>
      <c r="I38" s="291"/>
      <c r="J38" s="298"/>
      <c r="K38" s="299"/>
      <c r="L38" s="294"/>
      <c r="M38" s="294"/>
      <c r="N38" s="294"/>
    </row>
    <row r="39" spans="1:14" ht="12.75">
      <c r="A39" s="300">
        <v>3</v>
      </c>
      <c r="B39" s="301" t="s">
        <v>384</v>
      </c>
      <c r="C39" s="215">
        <f>SUM(C37:C38)</f>
        <v>0</v>
      </c>
      <c r="D39" s="215">
        <f>SUM(D37:D38)</f>
        <v>9316564044</v>
      </c>
      <c r="E39" s="215">
        <f>SUM(E37:E38)</f>
        <v>152031</v>
      </c>
      <c r="F39" s="215">
        <f>SUM(F37:F38)</f>
        <v>116405553001</v>
      </c>
      <c r="G39" s="215">
        <f>SUM(G37:G38)</f>
        <v>531059176</v>
      </c>
      <c r="H39" s="216">
        <f t="shared" si="6"/>
        <v>126253328252</v>
      </c>
      <c r="I39" s="302"/>
      <c r="J39" s="303"/>
      <c r="K39" s="304"/>
      <c r="L39" s="180"/>
      <c r="M39" s="180"/>
      <c r="N39" s="180"/>
    </row>
    <row r="40" spans="1:14" ht="12.75">
      <c r="A40" s="300">
        <v>4</v>
      </c>
      <c r="B40" s="301" t="s">
        <v>494</v>
      </c>
      <c r="C40" s="215">
        <v>0</v>
      </c>
      <c r="D40" s="215">
        <f>6371568765+1787537858+570343539</f>
        <v>8729450162</v>
      </c>
      <c r="E40" s="215">
        <f>18886400</f>
        <v>18886400</v>
      </c>
      <c r="F40" s="215">
        <f>77960325129+7373719417+27801870188+5952827673+368601833</f>
        <v>119457344240</v>
      </c>
      <c r="G40" s="215"/>
      <c r="H40" s="216">
        <f t="shared" si="6"/>
        <v>128205680802</v>
      </c>
      <c r="I40" s="302"/>
      <c r="J40" s="303"/>
      <c r="K40" s="304"/>
      <c r="L40" s="180"/>
      <c r="M40" s="180"/>
      <c r="N40" s="180"/>
    </row>
    <row r="41" spans="1:14" s="310" customFormat="1" ht="12.75">
      <c r="A41" s="305">
        <v>5</v>
      </c>
      <c r="B41" s="306" t="s">
        <v>495</v>
      </c>
      <c r="C41" s="232">
        <f>C39-C40</f>
        <v>0</v>
      </c>
      <c r="D41" s="232">
        <f>D39-D40+1</f>
        <v>587113883</v>
      </c>
      <c r="E41" s="232">
        <f>E39-E40</f>
        <v>-18734369</v>
      </c>
      <c r="F41" s="232">
        <f>F39-F40</f>
        <v>-3051791239</v>
      </c>
      <c r="G41" s="232">
        <f>G39-G40</f>
        <v>531059176</v>
      </c>
      <c r="H41" s="208">
        <f t="shared" si="6"/>
        <v>-1952352549</v>
      </c>
      <c r="I41" s="266"/>
      <c r="J41" s="307"/>
      <c r="K41" s="308"/>
      <c r="L41" s="309"/>
      <c r="M41" s="309"/>
      <c r="N41" s="309"/>
    </row>
    <row r="42" spans="1:14" s="310" customFormat="1" ht="12.75">
      <c r="A42" s="305">
        <v>6</v>
      </c>
      <c r="B42" s="306" t="s">
        <v>496</v>
      </c>
      <c r="C42" s="208"/>
      <c r="D42" s="311"/>
      <c r="E42" s="232"/>
      <c r="F42" s="232"/>
      <c r="G42" s="311"/>
      <c r="H42" s="290">
        <f t="shared" si="6"/>
        <v>0</v>
      </c>
      <c r="I42" s="266"/>
      <c r="J42" s="307"/>
      <c r="K42" s="267"/>
      <c r="L42" s="309"/>
      <c r="M42" s="309"/>
      <c r="N42" s="309"/>
    </row>
    <row r="43" spans="1:14" s="310" customFormat="1" ht="12.75">
      <c r="A43" s="305">
        <v>7</v>
      </c>
      <c r="B43" s="306" t="s">
        <v>497</v>
      </c>
      <c r="C43" s="208"/>
      <c r="D43" s="208"/>
      <c r="E43" s="232"/>
      <c r="F43" s="232">
        <v>494416714</v>
      </c>
      <c r="G43" s="311"/>
      <c r="H43" s="208">
        <f t="shared" si="6"/>
        <v>494416714</v>
      </c>
      <c r="I43" s="266"/>
      <c r="J43" s="307"/>
      <c r="K43" s="267"/>
      <c r="L43" s="309"/>
      <c r="M43" s="309"/>
      <c r="N43" s="309"/>
    </row>
    <row r="44" spans="1:14" s="310" customFormat="1" ht="13.5" thickBot="1">
      <c r="A44" s="312">
        <v>8</v>
      </c>
      <c r="B44" s="313" t="s">
        <v>498</v>
      </c>
      <c r="C44" s="314">
        <f>C41+C42+C43</f>
        <v>0</v>
      </c>
      <c r="D44" s="314">
        <f>D41+D42+D43-D42</f>
        <v>587113883</v>
      </c>
      <c r="E44" s="314">
        <f>E41</f>
        <v>-18734369</v>
      </c>
      <c r="F44" s="314">
        <f>F41+F43</f>
        <v>-2557374525</v>
      </c>
      <c r="G44" s="314">
        <f>G41+G42+G43</f>
        <v>531059176</v>
      </c>
      <c r="H44" s="314">
        <f>H41+H43</f>
        <v>-1457935835</v>
      </c>
      <c r="I44" s="266"/>
      <c r="J44" s="307"/>
      <c r="K44" s="267"/>
      <c r="L44" s="309"/>
      <c r="M44" s="309"/>
      <c r="N44" s="309"/>
    </row>
    <row r="45" spans="1:14" ht="13.5" thickTop="1">
      <c r="A45" s="191"/>
      <c r="B45" s="191"/>
      <c r="C45" s="191"/>
      <c r="D45" s="191"/>
      <c r="E45" s="191"/>
      <c r="F45" s="191"/>
      <c r="G45" s="191"/>
      <c r="H45" s="191"/>
      <c r="I45" s="191"/>
      <c r="J45" s="191"/>
      <c r="K45" s="315"/>
      <c r="L45" s="180"/>
      <c r="M45" s="180"/>
      <c r="N45" s="180"/>
    </row>
    <row r="46" spans="1:14" s="295" customFormat="1" ht="12.75">
      <c r="A46" s="316"/>
      <c r="B46" s="316"/>
      <c r="C46" s="316"/>
      <c r="D46" s="316"/>
      <c r="E46" s="316"/>
      <c r="F46" s="316"/>
      <c r="G46" s="316"/>
      <c r="H46" s="316"/>
      <c r="I46" s="316"/>
      <c r="J46" s="316"/>
      <c r="K46" s="317"/>
      <c r="L46" s="294"/>
      <c r="M46" s="294"/>
      <c r="N46" s="294"/>
    </row>
    <row r="47" spans="1:14" ht="12.75">
      <c r="A47" s="191"/>
      <c r="B47" s="191"/>
      <c r="C47" s="191"/>
      <c r="D47" s="191"/>
      <c r="E47" s="191"/>
      <c r="F47" s="191"/>
      <c r="G47" s="191"/>
      <c r="H47" s="191"/>
      <c r="I47" s="191"/>
      <c r="J47" s="191"/>
      <c r="K47" s="315"/>
      <c r="L47" s="180"/>
      <c r="M47" s="180"/>
      <c r="N47" s="180"/>
    </row>
    <row r="48" spans="1:14" ht="12.75">
      <c r="A48" s="191"/>
      <c r="B48" s="191"/>
      <c r="C48" s="191"/>
      <c r="D48" s="191"/>
      <c r="E48" s="191"/>
      <c r="F48" s="191"/>
      <c r="G48" s="191"/>
      <c r="H48" s="191"/>
      <c r="I48" s="191"/>
      <c r="J48" s="191"/>
      <c r="K48" s="315"/>
      <c r="L48" s="180"/>
      <c r="M48" s="180"/>
      <c r="N48" s="180"/>
    </row>
    <row r="49" spans="1:14" ht="12.75">
      <c r="A49" s="191"/>
      <c r="B49" s="191"/>
      <c r="C49" s="191"/>
      <c r="D49" s="191"/>
      <c r="E49" s="191"/>
      <c r="F49" s="191"/>
      <c r="G49" s="191"/>
      <c r="H49" s="191"/>
      <c r="I49" s="191"/>
      <c r="J49" s="191"/>
      <c r="K49" s="315"/>
      <c r="L49" s="180"/>
      <c r="M49" s="180"/>
      <c r="N49" s="180"/>
    </row>
    <row r="50" spans="1:14" ht="12.75">
      <c r="A50" s="191"/>
      <c r="B50" s="191"/>
      <c r="C50" s="191"/>
      <c r="D50" s="191"/>
      <c r="E50" s="191"/>
      <c r="F50" s="191"/>
      <c r="G50" s="191"/>
      <c r="H50" s="191"/>
      <c r="I50" s="191"/>
      <c r="J50" s="191"/>
      <c r="K50" s="315"/>
      <c r="L50" s="180"/>
      <c r="M50" s="180"/>
      <c r="N50" s="180"/>
    </row>
    <row r="51" spans="1:14" ht="12.75">
      <c r="A51" s="191"/>
      <c r="B51" s="191"/>
      <c r="C51" s="191"/>
      <c r="D51" s="191"/>
      <c r="E51" s="191"/>
      <c r="F51" s="191"/>
      <c r="G51" s="191"/>
      <c r="H51" s="191"/>
      <c r="I51" s="191"/>
      <c r="J51" s="191"/>
      <c r="K51" s="315"/>
      <c r="L51" s="180"/>
      <c r="M51" s="180"/>
      <c r="N51" s="180"/>
    </row>
    <row r="52" spans="1:14" ht="12.75">
      <c r="A52" s="191"/>
      <c r="B52" s="191"/>
      <c r="C52" s="191"/>
      <c r="D52" s="191"/>
      <c r="E52" s="191"/>
      <c r="F52" s="191"/>
      <c r="G52" s="191"/>
      <c r="H52" s="191"/>
      <c r="I52" s="191"/>
      <c r="J52" s="191"/>
      <c r="K52" s="315"/>
      <c r="L52" s="180"/>
      <c r="M52" s="180"/>
      <c r="N52" s="180"/>
    </row>
    <row r="53" spans="1:14" ht="12.75">
      <c r="A53" s="191"/>
      <c r="B53" s="191"/>
      <c r="C53" s="191"/>
      <c r="D53" s="191"/>
      <c r="E53" s="191"/>
      <c r="F53" s="191"/>
      <c r="G53" s="191"/>
      <c r="H53" s="191"/>
      <c r="I53" s="191"/>
      <c r="J53" s="191"/>
      <c r="K53" s="315"/>
      <c r="L53" s="180"/>
      <c r="M53" s="180"/>
      <c r="N53" s="180"/>
    </row>
    <row r="54" spans="1:14" ht="12.75">
      <c r="A54" s="318"/>
      <c r="B54" s="319"/>
      <c r="C54" s="260"/>
      <c r="D54" s="260"/>
      <c r="E54" s="260"/>
      <c r="F54" s="260"/>
      <c r="G54" s="260"/>
      <c r="H54" s="260"/>
      <c r="I54" s="260"/>
      <c r="J54" s="260"/>
      <c r="K54" s="320"/>
      <c r="L54" s="180"/>
      <c r="M54" s="180"/>
      <c r="N54" s="180"/>
    </row>
    <row r="55" spans="1:14" ht="12.75">
      <c r="A55" s="318"/>
      <c r="B55" s="319"/>
      <c r="C55" s="260"/>
      <c r="D55" s="260"/>
      <c r="E55" s="260"/>
      <c r="F55" s="260"/>
      <c r="G55" s="260"/>
      <c r="H55" s="260"/>
      <c r="I55" s="260"/>
      <c r="J55" s="260"/>
      <c r="K55" s="320"/>
      <c r="L55" s="180"/>
      <c r="M55" s="180"/>
      <c r="N55" s="180"/>
    </row>
    <row r="56" spans="1:14" ht="12.75">
      <c r="A56" s="321"/>
      <c r="B56" s="319"/>
      <c r="C56" s="238"/>
      <c r="D56" s="322"/>
      <c r="E56" s="322"/>
      <c r="F56" s="322"/>
      <c r="G56" s="322"/>
      <c r="H56" s="322"/>
      <c r="I56" s="322"/>
      <c r="J56" s="323"/>
      <c r="K56" s="320"/>
      <c r="L56" s="180"/>
      <c r="M56" s="180"/>
      <c r="N56" s="180"/>
    </row>
    <row r="57" spans="1:14" ht="12.75">
      <c r="A57" s="321"/>
      <c r="B57" s="319"/>
      <c r="C57" s="238"/>
      <c r="D57" s="322"/>
      <c r="E57" s="322"/>
      <c r="F57" s="322"/>
      <c r="G57" s="322"/>
      <c r="H57" s="322"/>
      <c r="I57" s="322"/>
      <c r="J57" s="322"/>
      <c r="K57" s="320"/>
      <c r="L57" s="180"/>
      <c r="M57" s="180"/>
      <c r="N57" s="180"/>
    </row>
    <row r="58" spans="1:14" ht="12.75">
      <c r="A58" s="321"/>
      <c r="B58" s="319"/>
      <c r="C58" s="238"/>
      <c r="D58" s="322"/>
      <c r="E58" s="322"/>
      <c r="F58" s="322"/>
      <c r="G58" s="322"/>
      <c r="H58" s="322"/>
      <c r="I58" s="322"/>
      <c r="J58" s="323"/>
      <c r="K58" s="320"/>
      <c r="L58" s="180"/>
      <c r="M58" s="180"/>
      <c r="N58" s="180"/>
    </row>
    <row r="59" spans="1:14" ht="12.75">
      <c r="A59" s="321"/>
      <c r="B59" s="319"/>
      <c r="C59" s="238"/>
      <c r="D59" s="322"/>
      <c r="E59" s="322"/>
      <c r="F59" s="322"/>
      <c r="G59" s="322"/>
      <c r="H59" s="322"/>
      <c r="I59" s="322"/>
      <c r="J59" s="322"/>
      <c r="K59" s="320"/>
      <c r="L59" s="180"/>
      <c r="M59" s="180"/>
      <c r="N59" s="180"/>
    </row>
    <row r="60" spans="1:14" ht="12.75">
      <c r="A60" s="321"/>
      <c r="B60" s="319"/>
      <c r="C60" s="238"/>
      <c r="D60" s="322"/>
      <c r="E60" s="322"/>
      <c r="F60" s="322"/>
      <c r="G60" s="322"/>
      <c r="H60" s="322"/>
      <c r="I60" s="322"/>
      <c r="J60" s="322"/>
      <c r="K60" s="320"/>
      <c r="L60" s="180"/>
      <c r="M60" s="180"/>
      <c r="N60" s="180"/>
    </row>
    <row r="61" spans="1:14" ht="12.75">
      <c r="A61" s="324"/>
      <c r="B61" s="319"/>
      <c r="C61" s="238"/>
      <c r="D61" s="322"/>
      <c r="E61" s="322"/>
      <c r="F61" s="322"/>
      <c r="G61" s="322"/>
      <c r="H61" s="322"/>
      <c r="I61" s="322"/>
      <c r="J61" s="323"/>
      <c r="K61" s="320"/>
      <c r="L61" s="180"/>
      <c r="M61" s="180"/>
      <c r="N61" s="180"/>
    </row>
    <row r="62" spans="1:14" ht="12.75">
      <c r="A62" s="321"/>
      <c r="B62" s="319"/>
      <c r="C62" s="238"/>
      <c r="D62" s="322"/>
      <c r="E62" s="322"/>
      <c r="F62" s="322"/>
      <c r="G62" s="322"/>
      <c r="H62" s="322"/>
      <c r="I62" s="322"/>
      <c r="J62" s="322"/>
      <c r="K62" s="320"/>
      <c r="L62" s="180"/>
      <c r="M62" s="180"/>
      <c r="N62" s="180"/>
    </row>
    <row r="63" spans="1:14" ht="12.75">
      <c r="A63" s="324"/>
      <c r="B63" s="319"/>
      <c r="C63" s="238"/>
      <c r="D63" s="322"/>
      <c r="E63" s="322"/>
      <c r="F63" s="322"/>
      <c r="G63" s="322"/>
      <c r="H63" s="322"/>
      <c r="I63" s="322"/>
      <c r="J63" s="322"/>
      <c r="K63" s="320"/>
      <c r="L63" s="180"/>
      <c r="M63" s="180"/>
      <c r="N63" s="180"/>
    </row>
    <row r="64" spans="1:14" ht="12.75">
      <c r="A64" s="321"/>
      <c r="B64" s="319"/>
      <c r="C64" s="238"/>
      <c r="D64" s="322"/>
      <c r="E64" s="322"/>
      <c r="F64" s="322"/>
      <c r="G64" s="322"/>
      <c r="H64" s="322"/>
      <c r="I64" s="322"/>
      <c r="J64" s="322"/>
      <c r="K64" s="320"/>
      <c r="L64" s="180"/>
      <c r="M64" s="180"/>
      <c r="N64" s="180"/>
    </row>
    <row r="65" spans="1:14" ht="12.75">
      <c r="A65" s="321"/>
      <c r="B65" s="319"/>
      <c r="C65" s="323"/>
      <c r="D65" s="322"/>
      <c r="E65" s="322"/>
      <c r="F65" s="322"/>
      <c r="G65" s="322"/>
      <c r="H65" s="322"/>
      <c r="I65" s="322"/>
      <c r="J65" s="323"/>
      <c r="K65" s="320"/>
      <c r="L65" s="180"/>
      <c r="M65" s="180"/>
      <c r="N65" s="180"/>
    </row>
    <row r="66" spans="1:14" ht="12.75">
      <c r="A66" s="321"/>
      <c r="B66" s="319"/>
      <c r="C66" s="323"/>
      <c r="D66" s="322"/>
      <c r="E66" s="322"/>
      <c r="F66" s="322"/>
      <c r="G66" s="322"/>
      <c r="H66" s="322"/>
      <c r="I66" s="322"/>
      <c r="J66" s="323"/>
      <c r="K66" s="320"/>
      <c r="L66" s="180"/>
      <c r="M66" s="180"/>
      <c r="N66" s="180"/>
    </row>
    <row r="67" spans="1:14" ht="12.75">
      <c r="A67" s="321"/>
      <c r="B67" s="319"/>
      <c r="C67" s="238"/>
      <c r="D67" s="322"/>
      <c r="E67" s="322"/>
      <c r="F67" s="322"/>
      <c r="G67" s="322"/>
      <c r="H67" s="322"/>
      <c r="I67" s="322"/>
      <c r="J67" s="323"/>
      <c r="K67" s="320"/>
      <c r="L67" s="180"/>
      <c r="M67" s="180"/>
      <c r="N67" s="180"/>
    </row>
    <row r="68" spans="1:14" ht="12.75">
      <c r="A68" s="321"/>
      <c r="B68" s="191"/>
      <c r="C68" s="238"/>
      <c r="D68" s="323"/>
      <c r="E68" s="323"/>
      <c r="F68" s="323"/>
      <c r="G68" s="325"/>
      <c r="H68" s="325"/>
      <c r="I68" s="325"/>
      <c r="J68" s="326"/>
      <c r="K68" s="272"/>
      <c r="L68" s="180"/>
      <c r="M68" s="180"/>
      <c r="N68" s="180"/>
    </row>
    <row r="69" spans="1:14" ht="12.75">
      <c r="A69" s="318"/>
      <c r="B69" s="191"/>
      <c r="C69" s="260"/>
      <c r="D69" s="260"/>
      <c r="E69" s="260"/>
      <c r="F69" s="260"/>
      <c r="G69" s="260"/>
      <c r="H69" s="260"/>
      <c r="I69" s="260"/>
      <c r="J69" s="260"/>
      <c r="K69" s="272"/>
      <c r="L69" s="180"/>
      <c r="M69" s="180"/>
      <c r="N69" s="180"/>
    </row>
    <row r="70" spans="1:14" ht="12.75">
      <c r="A70" s="327"/>
      <c r="B70" s="188"/>
      <c r="C70" s="188"/>
      <c r="D70" s="188"/>
      <c r="E70" s="328"/>
      <c r="F70" s="328"/>
      <c r="G70" s="329"/>
      <c r="H70" s="329"/>
      <c r="I70" s="329"/>
      <c r="J70" s="329"/>
      <c r="K70" s="315"/>
      <c r="L70" s="180"/>
      <c r="M70" s="180"/>
      <c r="N70" s="180"/>
    </row>
    <row r="71" spans="1:14" ht="12.75">
      <c r="A71" s="330"/>
      <c r="B71" s="331"/>
      <c r="C71" s="319"/>
      <c r="D71" s="188"/>
      <c r="E71" s="188"/>
      <c r="F71" s="188"/>
      <c r="G71" s="328"/>
      <c r="H71" s="328"/>
      <c r="I71" s="328"/>
      <c r="J71" s="329"/>
      <c r="K71" s="315"/>
      <c r="L71" s="180"/>
      <c r="M71" s="180"/>
      <c r="N71" s="180"/>
    </row>
    <row r="72" spans="1:14" ht="12.75">
      <c r="A72" s="455"/>
      <c r="B72" s="456"/>
      <c r="C72" s="456"/>
      <c r="D72" s="455"/>
      <c r="E72" s="455"/>
      <c r="F72" s="332"/>
      <c r="G72" s="455"/>
      <c r="H72" s="455"/>
      <c r="I72" s="455"/>
      <c r="J72" s="455"/>
      <c r="K72" s="315"/>
      <c r="L72" s="180"/>
      <c r="M72" s="180"/>
      <c r="N72" s="180"/>
    </row>
    <row r="73" spans="1:14" ht="12.75">
      <c r="A73" s="456"/>
      <c r="B73" s="456"/>
      <c r="C73" s="456"/>
      <c r="D73" s="333"/>
      <c r="E73" s="332"/>
      <c r="F73" s="332"/>
      <c r="G73" s="332"/>
      <c r="H73" s="332"/>
      <c r="I73" s="332"/>
      <c r="J73" s="332"/>
      <c r="K73" s="315"/>
      <c r="L73" s="180"/>
      <c r="M73" s="180"/>
      <c r="N73" s="180"/>
    </row>
    <row r="74" spans="1:14" ht="12.75">
      <c r="A74" s="334"/>
      <c r="B74" s="188"/>
      <c r="C74" s="188"/>
      <c r="D74" s="335"/>
      <c r="E74" s="335"/>
      <c r="F74" s="335"/>
      <c r="G74" s="336"/>
      <c r="H74" s="336"/>
      <c r="I74" s="336"/>
      <c r="J74" s="336"/>
      <c r="K74" s="315"/>
      <c r="L74" s="180"/>
      <c r="M74" s="180"/>
      <c r="N74" s="180"/>
    </row>
    <row r="75" spans="1:14" ht="12.75">
      <c r="A75" s="459"/>
      <c r="B75" s="459"/>
      <c r="C75" s="459"/>
      <c r="D75" s="337"/>
      <c r="E75" s="337"/>
      <c r="F75" s="337"/>
      <c r="G75" s="338"/>
      <c r="H75" s="338"/>
      <c r="I75" s="338"/>
      <c r="J75" s="338"/>
      <c r="K75" s="315"/>
      <c r="L75" s="180"/>
      <c r="M75" s="180"/>
      <c r="N75" s="180"/>
    </row>
    <row r="76" spans="1:14" ht="12.75">
      <c r="A76" s="188"/>
      <c r="B76" s="339"/>
      <c r="C76" s="188"/>
      <c r="D76" s="340"/>
      <c r="E76" s="340"/>
      <c r="F76" s="340"/>
      <c r="G76" s="340"/>
      <c r="H76" s="340"/>
      <c r="I76" s="340"/>
      <c r="J76" s="340"/>
      <c r="K76" s="315"/>
      <c r="L76" s="180"/>
      <c r="M76" s="180"/>
      <c r="N76" s="180"/>
    </row>
    <row r="77" spans="1:14" ht="12.75">
      <c r="A77" s="341"/>
      <c r="B77" s="342"/>
      <c r="C77" s="188"/>
      <c r="D77" s="188"/>
      <c r="E77" s="188"/>
      <c r="F77" s="188"/>
      <c r="G77" s="343"/>
      <c r="H77" s="343"/>
      <c r="I77" s="343"/>
      <c r="J77" s="343"/>
      <c r="K77" s="344"/>
      <c r="L77" s="180"/>
      <c r="M77" s="180"/>
      <c r="N77" s="180"/>
    </row>
    <row r="78" spans="1:14" ht="12.75">
      <c r="A78" s="188"/>
      <c r="B78" s="334"/>
      <c r="C78" s="188"/>
      <c r="D78" s="340"/>
      <c r="E78" s="340"/>
      <c r="F78" s="340"/>
      <c r="G78" s="248"/>
      <c r="H78" s="248"/>
      <c r="I78" s="248"/>
      <c r="J78" s="248"/>
      <c r="K78" s="315"/>
      <c r="L78" s="180"/>
      <c r="M78" s="180"/>
      <c r="N78" s="180"/>
    </row>
    <row r="79" spans="1:14" ht="12.75">
      <c r="A79" s="188"/>
      <c r="B79" s="345"/>
      <c r="C79" s="188"/>
      <c r="D79" s="340"/>
      <c r="E79" s="340"/>
      <c r="F79" s="340"/>
      <c r="G79" s="328"/>
      <c r="H79" s="328"/>
      <c r="I79" s="328"/>
      <c r="J79" s="328"/>
      <c r="K79" s="344"/>
      <c r="L79" s="180"/>
      <c r="M79" s="180"/>
      <c r="N79" s="180"/>
    </row>
    <row r="80" spans="1:14" ht="12.75">
      <c r="A80" s="346"/>
      <c r="B80" s="345"/>
      <c r="C80" s="188"/>
      <c r="D80" s="340"/>
      <c r="E80" s="340"/>
      <c r="F80" s="340"/>
      <c r="G80" s="328"/>
      <c r="H80" s="328"/>
      <c r="I80" s="328"/>
      <c r="J80" s="347"/>
      <c r="K80" s="348"/>
      <c r="L80" s="180"/>
      <c r="M80" s="180"/>
      <c r="N80" s="180"/>
    </row>
    <row r="81" spans="1:14" ht="12.75">
      <c r="A81" s="346"/>
      <c r="B81" s="345"/>
      <c r="C81" s="188"/>
      <c r="D81" s="340"/>
      <c r="E81" s="340"/>
      <c r="F81" s="340"/>
      <c r="G81" s="328"/>
      <c r="H81" s="328"/>
      <c r="I81" s="328"/>
      <c r="J81" s="347"/>
      <c r="K81" s="348"/>
      <c r="L81" s="180"/>
      <c r="M81" s="180"/>
      <c r="N81" s="180"/>
    </row>
    <row r="82" spans="1:14" ht="12.75">
      <c r="A82" s="346"/>
      <c r="B82" s="345"/>
      <c r="C82" s="188"/>
      <c r="D82" s="340"/>
      <c r="E82" s="340"/>
      <c r="F82" s="340"/>
      <c r="G82" s="328"/>
      <c r="H82" s="328"/>
      <c r="I82" s="328"/>
      <c r="J82" s="349"/>
      <c r="K82" s="348"/>
      <c r="L82" s="180"/>
      <c r="M82" s="180"/>
      <c r="N82" s="180"/>
    </row>
    <row r="83" spans="1:14" ht="12.75">
      <c r="A83" s="188"/>
      <c r="B83" s="188"/>
      <c r="C83" s="188"/>
      <c r="D83" s="340"/>
      <c r="E83" s="340"/>
      <c r="F83" s="340"/>
      <c r="G83" s="328"/>
      <c r="H83" s="328"/>
      <c r="I83" s="328"/>
      <c r="J83" s="328"/>
      <c r="K83" s="344"/>
      <c r="L83" s="180"/>
      <c r="M83" s="180"/>
      <c r="N83" s="180"/>
    </row>
    <row r="84" spans="1:14" ht="12.75">
      <c r="A84" s="188"/>
      <c r="B84" s="334"/>
      <c r="C84" s="188"/>
      <c r="D84" s="340"/>
      <c r="E84" s="340"/>
      <c r="F84" s="340"/>
      <c r="G84" s="328"/>
      <c r="H84" s="328"/>
      <c r="I84" s="328"/>
      <c r="J84" s="328"/>
      <c r="K84" s="315"/>
      <c r="L84" s="180"/>
      <c r="M84" s="180"/>
      <c r="N84" s="180"/>
    </row>
    <row r="85" spans="1:14" ht="12.75">
      <c r="A85" s="330"/>
      <c r="B85" s="460"/>
      <c r="C85" s="460"/>
      <c r="D85" s="460"/>
      <c r="E85" s="460"/>
      <c r="F85" s="460"/>
      <c r="G85" s="460"/>
      <c r="H85" s="460"/>
      <c r="I85" s="460"/>
      <c r="J85" s="460"/>
      <c r="K85" s="315"/>
      <c r="L85" s="180"/>
      <c r="M85" s="180"/>
      <c r="N85" s="180"/>
    </row>
    <row r="86" spans="1:14" ht="12.75">
      <c r="A86" s="248"/>
      <c r="B86" s="327"/>
      <c r="C86" s="188"/>
      <c r="D86" s="188"/>
      <c r="E86" s="188"/>
      <c r="F86" s="188"/>
      <c r="G86" s="328"/>
      <c r="H86" s="328"/>
      <c r="I86" s="328"/>
      <c r="J86" s="329"/>
      <c r="K86" s="315"/>
      <c r="L86" s="180"/>
      <c r="M86" s="180"/>
      <c r="N86" s="180"/>
    </row>
    <row r="87" spans="1:14" ht="12.75">
      <c r="A87" s="327"/>
      <c r="B87" s="188"/>
      <c r="C87" s="188"/>
      <c r="D87" s="188"/>
      <c r="E87" s="188"/>
      <c r="F87" s="188"/>
      <c r="G87" s="328"/>
      <c r="H87" s="328"/>
      <c r="I87" s="328"/>
      <c r="J87" s="329"/>
      <c r="K87" s="315"/>
      <c r="L87" s="180"/>
      <c r="M87" s="180"/>
      <c r="N87" s="180"/>
    </row>
    <row r="88" spans="1:14" ht="12.75">
      <c r="A88" s="327"/>
      <c r="B88" s="188"/>
      <c r="C88" s="188"/>
      <c r="D88" s="188"/>
      <c r="E88" s="188"/>
      <c r="F88" s="188"/>
      <c r="G88" s="328"/>
      <c r="H88" s="328"/>
      <c r="I88" s="328"/>
      <c r="J88" s="329"/>
      <c r="K88" s="315"/>
      <c r="L88" s="180"/>
      <c r="M88" s="180"/>
      <c r="N88" s="180"/>
    </row>
    <row r="89" spans="1:14" ht="12.75">
      <c r="A89" s="327"/>
      <c r="B89" s="188"/>
      <c r="C89" s="188"/>
      <c r="D89" s="188"/>
      <c r="E89" s="188"/>
      <c r="F89" s="188"/>
      <c r="G89" s="328"/>
      <c r="H89" s="328"/>
      <c r="I89" s="328"/>
      <c r="J89" s="329"/>
      <c r="K89" s="315"/>
      <c r="L89" s="180"/>
      <c r="M89" s="180"/>
      <c r="N89" s="180"/>
    </row>
    <row r="90" spans="1:14" ht="12.75">
      <c r="A90" s="327"/>
      <c r="B90" s="188"/>
      <c r="C90" s="188"/>
      <c r="D90" s="188"/>
      <c r="E90" s="188"/>
      <c r="F90" s="188"/>
      <c r="G90" s="328"/>
      <c r="H90" s="328"/>
      <c r="I90" s="328"/>
      <c r="J90" s="329"/>
      <c r="K90" s="315"/>
      <c r="L90" s="180"/>
      <c r="M90" s="180"/>
      <c r="N90" s="180"/>
    </row>
    <row r="91" spans="1:14" ht="12.75">
      <c r="A91" s="327"/>
      <c r="B91" s="188"/>
      <c r="C91" s="188"/>
      <c r="D91" s="188"/>
      <c r="E91" s="188"/>
      <c r="F91" s="188"/>
      <c r="G91" s="328"/>
      <c r="H91" s="328"/>
      <c r="I91" s="328"/>
      <c r="J91" s="329"/>
      <c r="K91" s="315"/>
      <c r="L91" s="180"/>
      <c r="M91" s="180"/>
      <c r="N91" s="180"/>
    </row>
    <row r="92" spans="1:14" ht="12.75">
      <c r="A92" s="327"/>
      <c r="B92" s="188"/>
      <c r="C92" s="188"/>
      <c r="D92" s="188"/>
      <c r="E92" s="188"/>
      <c r="F92" s="188"/>
      <c r="G92" s="328"/>
      <c r="H92" s="328"/>
      <c r="I92" s="328"/>
      <c r="J92" s="329"/>
      <c r="K92" s="315"/>
      <c r="L92" s="180"/>
      <c r="M92" s="180"/>
      <c r="N92" s="180"/>
    </row>
    <row r="93" spans="1:14" ht="12.75">
      <c r="A93" s="327"/>
      <c r="B93" s="188"/>
      <c r="C93" s="188"/>
      <c r="D93" s="188"/>
      <c r="E93" s="188"/>
      <c r="F93" s="188"/>
      <c r="G93" s="328"/>
      <c r="H93" s="328"/>
      <c r="I93" s="328"/>
      <c r="J93" s="329"/>
      <c r="K93" s="315"/>
      <c r="L93" s="180"/>
      <c r="M93" s="180"/>
      <c r="N93" s="180"/>
    </row>
    <row r="94" spans="1:14" ht="12.75">
      <c r="A94" s="327"/>
      <c r="B94" s="188"/>
      <c r="C94" s="188"/>
      <c r="D94" s="188"/>
      <c r="E94" s="188"/>
      <c r="F94" s="188"/>
      <c r="G94" s="328"/>
      <c r="H94" s="328"/>
      <c r="I94" s="328"/>
      <c r="J94" s="329"/>
      <c r="K94" s="315"/>
      <c r="L94" s="180"/>
      <c r="M94" s="180"/>
      <c r="N94" s="180"/>
    </row>
    <row r="95" spans="1:14" ht="12.75">
      <c r="A95" s="327"/>
      <c r="B95" s="188"/>
      <c r="C95" s="188"/>
      <c r="D95" s="188"/>
      <c r="E95" s="188"/>
      <c r="F95" s="188"/>
      <c r="G95" s="328"/>
      <c r="H95" s="328"/>
      <c r="I95" s="328"/>
      <c r="J95" s="329"/>
      <c r="K95" s="315"/>
      <c r="L95" s="180"/>
      <c r="M95" s="180"/>
      <c r="N95" s="180"/>
    </row>
    <row r="96" spans="1:14" ht="12.75">
      <c r="A96" s="327"/>
      <c r="B96" s="188"/>
      <c r="C96" s="188"/>
      <c r="D96" s="188"/>
      <c r="E96" s="188"/>
      <c r="F96" s="188"/>
      <c r="G96" s="328"/>
      <c r="H96" s="328"/>
      <c r="I96" s="328"/>
      <c r="J96" s="329"/>
      <c r="K96" s="315"/>
      <c r="L96" s="180"/>
      <c r="M96" s="180"/>
      <c r="N96" s="180"/>
    </row>
    <row r="97" spans="1:14" ht="12.75">
      <c r="A97" s="327"/>
      <c r="B97" s="188"/>
      <c r="C97" s="188"/>
      <c r="D97" s="188"/>
      <c r="E97" s="188"/>
      <c r="F97" s="188"/>
      <c r="G97" s="328"/>
      <c r="H97" s="328"/>
      <c r="I97" s="328"/>
      <c r="J97" s="329"/>
      <c r="K97" s="315"/>
      <c r="L97" s="180"/>
      <c r="M97" s="180"/>
      <c r="N97" s="180"/>
    </row>
    <row r="98" spans="1:14" ht="12.75">
      <c r="A98" s="327"/>
      <c r="B98" s="188"/>
      <c r="C98" s="188"/>
      <c r="D98" s="188"/>
      <c r="E98" s="188"/>
      <c r="F98" s="188"/>
      <c r="G98" s="328"/>
      <c r="H98" s="328"/>
      <c r="I98" s="328"/>
      <c r="J98" s="329"/>
      <c r="K98" s="315"/>
      <c r="L98" s="180"/>
      <c r="M98" s="180"/>
      <c r="N98" s="180"/>
    </row>
    <row r="99" spans="1:14" ht="12.75">
      <c r="A99" s="327"/>
      <c r="B99" s="188"/>
      <c r="C99" s="188"/>
      <c r="D99" s="188"/>
      <c r="E99" s="188"/>
      <c r="F99" s="188"/>
      <c r="G99" s="328"/>
      <c r="H99" s="328"/>
      <c r="I99" s="328"/>
      <c r="J99" s="329"/>
      <c r="K99" s="315"/>
      <c r="L99" s="180"/>
      <c r="M99" s="180"/>
      <c r="N99" s="180"/>
    </row>
    <row r="100" spans="1:14" ht="12.75">
      <c r="A100" s="327"/>
      <c r="B100" s="188"/>
      <c r="C100" s="188"/>
      <c r="D100" s="188"/>
      <c r="E100" s="188"/>
      <c r="F100" s="188"/>
      <c r="G100" s="328"/>
      <c r="H100" s="328"/>
      <c r="I100" s="328"/>
      <c r="J100" s="329"/>
      <c r="K100" s="315"/>
      <c r="L100" s="180"/>
      <c r="M100" s="180"/>
      <c r="N100" s="180"/>
    </row>
    <row r="101" spans="1:14" ht="12.75">
      <c r="A101" s="327"/>
      <c r="B101" s="188"/>
      <c r="C101" s="188"/>
      <c r="D101" s="188"/>
      <c r="E101" s="188"/>
      <c r="F101" s="188"/>
      <c r="G101" s="328"/>
      <c r="H101" s="328"/>
      <c r="I101" s="328"/>
      <c r="J101" s="329"/>
      <c r="K101" s="315"/>
      <c r="L101" s="180"/>
      <c r="M101" s="180"/>
      <c r="N101" s="180"/>
    </row>
    <row r="102" spans="1:14" ht="12.75">
      <c r="A102" s="341"/>
      <c r="B102" s="342"/>
      <c r="C102" s="188"/>
      <c r="D102" s="188"/>
      <c r="E102" s="188"/>
      <c r="F102" s="188"/>
      <c r="G102" s="351"/>
      <c r="H102" s="351"/>
      <c r="I102" s="351"/>
      <c r="J102" s="351"/>
      <c r="K102" s="344"/>
      <c r="L102" s="180"/>
      <c r="M102" s="180"/>
      <c r="N102" s="180"/>
    </row>
    <row r="103" spans="1:14" ht="12.75">
      <c r="A103" s="248"/>
      <c r="B103" s="188"/>
      <c r="C103" s="188"/>
      <c r="D103" s="188"/>
      <c r="E103" s="188"/>
      <c r="F103" s="188"/>
      <c r="G103" s="352"/>
      <c r="H103" s="352"/>
      <c r="I103" s="352"/>
      <c r="J103" s="352"/>
      <c r="K103" s="315"/>
      <c r="L103" s="180"/>
      <c r="M103" s="180"/>
      <c r="N103" s="180"/>
    </row>
    <row r="104" spans="1:14" ht="12.75">
      <c r="A104" s="248"/>
      <c r="B104" s="188"/>
      <c r="C104" s="188"/>
      <c r="D104" s="188"/>
      <c r="E104" s="188"/>
      <c r="F104" s="188"/>
      <c r="G104" s="352"/>
      <c r="H104" s="352"/>
      <c r="I104" s="352"/>
      <c r="J104" s="352"/>
      <c r="K104" s="315"/>
      <c r="L104" s="180"/>
      <c r="M104" s="180"/>
      <c r="N104" s="180"/>
    </row>
    <row r="105" spans="1:14" ht="12.75">
      <c r="A105" s="248"/>
      <c r="B105" s="353"/>
      <c r="C105" s="188"/>
      <c r="D105" s="188"/>
      <c r="E105" s="188"/>
      <c r="F105" s="188"/>
      <c r="G105" s="354"/>
      <c r="H105" s="354"/>
      <c r="I105" s="354"/>
      <c r="J105" s="354"/>
      <c r="K105" s="315"/>
      <c r="L105" s="180"/>
      <c r="M105" s="180"/>
      <c r="N105" s="180"/>
    </row>
    <row r="106" spans="1:14" ht="12.75">
      <c r="A106" s="248"/>
      <c r="B106" s="188"/>
      <c r="C106" s="188"/>
      <c r="D106" s="188"/>
      <c r="E106" s="188"/>
      <c r="F106" s="188"/>
      <c r="G106" s="352"/>
      <c r="H106" s="352"/>
      <c r="I106" s="352"/>
      <c r="J106" s="354"/>
      <c r="K106" s="315"/>
      <c r="L106" s="180"/>
      <c r="M106" s="180"/>
      <c r="N106" s="180"/>
    </row>
    <row r="107" spans="1:14" ht="12.75">
      <c r="A107" s="248"/>
      <c r="B107" s="353"/>
      <c r="C107" s="188"/>
      <c r="D107" s="188"/>
      <c r="E107" s="188"/>
      <c r="F107" s="188"/>
      <c r="G107" s="354"/>
      <c r="H107" s="354"/>
      <c r="I107" s="354"/>
      <c r="J107" s="354"/>
      <c r="K107" s="315"/>
      <c r="L107" s="180"/>
      <c r="M107" s="180"/>
      <c r="N107" s="180"/>
    </row>
    <row r="108" spans="1:14" ht="12.75">
      <c r="A108" s="248"/>
      <c r="B108" s="188"/>
      <c r="C108" s="188"/>
      <c r="D108" s="188"/>
      <c r="E108" s="188"/>
      <c r="F108" s="188"/>
      <c r="G108" s="352"/>
      <c r="H108" s="352"/>
      <c r="I108" s="352"/>
      <c r="J108" s="352"/>
      <c r="K108" s="315"/>
      <c r="L108" s="180"/>
      <c r="M108" s="180"/>
      <c r="N108" s="180"/>
    </row>
    <row r="109" spans="1:14" ht="12.75">
      <c r="A109" s="248"/>
      <c r="B109" s="353"/>
      <c r="C109" s="188"/>
      <c r="D109" s="188"/>
      <c r="E109" s="188"/>
      <c r="F109" s="188"/>
      <c r="G109" s="354"/>
      <c r="H109" s="354"/>
      <c r="I109" s="354"/>
      <c r="J109" s="354"/>
      <c r="K109" s="315"/>
      <c r="L109" s="180"/>
      <c r="M109" s="180"/>
      <c r="N109" s="180"/>
    </row>
    <row r="110" spans="1:14" ht="12.75">
      <c r="A110" s="248"/>
      <c r="B110" s="188"/>
      <c r="C110" s="188"/>
      <c r="D110" s="188"/>
      <c r="E110" s="188"/>
      <c r="F110" s="188"/>
      <c r="G110" s="352"/>
      <c r="H110" s="352"/>
      <c r="I110" s="352"/>
      <c r="J110" s="352"/>
      <c r="K110" s="315"/>
      <c r="L110" s="180"/>
      <c r="M110" s="180"/>
      <c r="N110" s="180"/>
    </row>
    <row r="111" spans="1:14" ht="12.75">
      <c r="A111" s="327"/>
      <c r="B111" s="188"/>
      <c r="C111" s="188"/>
      <c r="D111" s="188"/>
      <c r="E111" s="188"/>
      <c r="F111" s="188"/>
      <c r="G111" s="328"/>
      <c r="H111" s="328"/>
      <c r="I111" s="328"/>
      <c r="J111" s="329"/>
      <c r="K111" s="315"/>
      <c r="L111" s="180"/>
      <c r="M111" s="180"/>
      <c r="N111" s="180"/>
    </row>
    <row r="112" spans="1:14" ht="12.75">
      <c r="A112" s="345"/>
      <c r="B112" s="342"/>
      <c r="C112" s="188"/>
      <c r="D112" s="188"/>
      <c r="E112" s="188"/>
      <c r="F112" s="188"/>
      <c r="G112" s="328"/>
      <c r="H112" s="328"/>
      <c r="I112" s="328"/>
      <c r="J112" s="329"/>
      <c r="K112" s="315"/>
      <c r="L112" s="180"/>
      <c r="M112" s="180"/>
      <c r="N112" s="180"/>
    </row>
    <row r="113" spans="1:14" ht="12.75">
      <c r="A113" s="355"/>
      <c r="B113" s="342"/>
      <c r="C113" s="188"/>
      <c r="D113" s="188"/>
      <c r="E113" s="188"/>
      <c r="F113" s="188"/>
      <c r="G113" s="340"/>
      <c r="H113" s="340"/>
      <c r="I113" s="340"/>
      <c r="J113" s="340"/>
      <c r="K113" s="344"/>
      <c r="L113" s="180"/>
      <c r="M113" s="180"/>
      <c r="N113" s="180"/>
    </row>
    <row r="114" spans="1:14" ht="12.75">
      <c r="A114" s="188"/>
      <c r="B114" s="334"/>
      <c r="C114" s="188"/>
      <c r="D114" s="188"/>
      <c r="E114" s="188"/>
      <c r="F114" s="188"/>
      <c r="G114" s="356"/>
      <c r="H114" s="356"/>
      <c r="I114" s="356"/>
      <c r="J114" s="356"/>
      <c r="K114" s="315"/>
      <c r="L114" s="180"/>
      <c r="M114" s="180"/>
      <c r="N114" s="180"/>
    </row>
    <row r="115" spans="1:14" ht="12.75">
      <c r="A115" s="188"/>
      <c r="B115" s="461"/>
      <c r="C115" s="461"/>
      <c r="D115" s="319"/>
      <c r="E115" s="358"/>
      <c r="F115" s="358"/>
      <c r="G115" s="359"/>
      <c r="H115" s="359"/>
      <c r="I115" s="359"/>
      <c r="J115" s="359"/>
      <c r="K115" s="315"/>
      <c r="L115" s="180"/>
      <c r="M115" s="180"/>
      <c r="N115" s="180"/>
    </row>
    <row r="116" spans="1:14" ht="12.75">
      <c r="A116" s="188"/>
      <c r="B116" s="357"/>
      <c r="C116" s="357"/>
      <c r="D116" s="319"/>
      <c r="E116" s="358"/>
      <c r="F116" s="358"/>
      <c r="G116" s="359"/>
      <c r="H116" s="359"/>
      <c r="I116" s="359"/>
      <c r="J116" s="359"/>
      <c r="K116" s="315"/>
      <c r="L116" s="180"/>
      <c r="M116" s="180"/>
      <c r="N116" s="180"/>
    </row>
    <row r="117" spans="1:14" ht="12.75">
      <c r="A117" s="188"/>
      <c r="B117" s="331"/>
      <c r="C117" s="334"/>
      <c r="D117" s="188"/>
      <c r="E117" s="188"/>
      <c r="F117" s="188"/>
      <c r="G117" s="188"/>
      <c r="H117" s="188"/>
      <c r="I117" s="188"/>
      <c r="J117" s="328"/>
      <c r="K117" s="315"/>
      <c r="L117" s="180"/>
      <c r="M117" s="180"/>
      <c r="N117" s="180"/>
    </row>
    <row r="118" spans="1:14" ht="12.75">
      <c r="A118" s="355"/>
      <c r="B118" s="342"/>
      <c r="C118" s="342"/>
      <c r="D118" s="342"/>
      <c r="E118" s="342"/>
      <c r="F118" s="342"/>
      <c r="G118" s="340"/>
      <c r="H118" s="340"/>
      <c r="I118" s="340"/>
      <c r="J118" s="340"/>
      <c r="K118" s="344"/>
      <c r="L118" s="180"/>
      <c r="M118" s="180"/>
      <c r="N118" s="180"/>
    </row>
    <row r="119" spans="1:14" ht="12.75">
      <c r="A119" s="355"/>
      <c r="B119" s="334"/>
      <c r="C119" s="342"/>
      <c r="D119" s="342"/>
      <c r="E119" s="342"/>
      <c r="F119" s="342"/>
      <c r="G119" s="349"/>
      <c r="H119" s="349"/>
      <c r="I119" s="349"/>
      <c r="J119" s="343"/>
      <c r="K119" s="344"/>
      <c r="L119" s="180"/>
      <c r="M119" s="180"/>
      <c r="N119" s="180"/>
    </row>
    <row r="120" spans="1:14" ht="12.75">
      <c r="A120" s="355"/>
      <c r="B120" s="342"/>
      <c r="C120" s="342"/>
      <c r="D120" s="342"/>
      <c r="E120" s="342"/>
      <c r="F120" s="342"/>
      <c r="G120" s="343"/>
      <c r="H120" s="343"/>
      <c r="I120" s="343"/>
      <c r="J120" s="343"/>
      <c r="K120" s="344"/>
      <c r="L120" s="180"/>
      <c r="M120" s="180"/>
      <c r="N120" s="180"/>
    </row>
    <row r="121" spans="1:14" ht="12.75">
      <c r="A121" s="355"/>
      <c r="B121" s="342"/>
      <c r="C121" s="342"/>
      <c r="D121" s="342"/>
      <c r="E121" s="342"/>
      <c r="F121" s="342"/>
      <c r="G121" s="360"/>
      <c r="H121" s="360"/>
      <c r="I121" s="360"/>
      <c r="J121" s="343"/>
      <c r="K121" s="344"/>
      <c r="L121" s="180"/>
      <c r="M121" s="180"/>
      <c r="N121" s="180"/>
    </row>
    <row r="122" spans="1:14" ht="12.75">
      <c r="A122" s="355"/>
      <c r="B122" s="342"/>
      <c r="C122" s="342"/>
      <c r="D122" s="342"/>
      <c r="E122" s="342"/>
      <c r="F122" s="342"/>
      <c r="G122" s="340"/>
      <c r="H122" s="340"/>
      <c r="I122" s="340"/>
      <c r="J122" s="340"/>
      <c r="K122" s="344"/>
      <c r="L122" s="180"/>
      <c r="M122" s="180"/>
      <c r="N122" s="180"/>
    </row>
    <row r="123" spans="1:14" ht="12.75">
      <c r="A123" s="188"/>
      <c r="B123" s="286"/>
      <c r="C123" s="188"/>
      <c r="D123" s="188"/>
      <c r="E123" s="188"/>
      <c r="F123" s="188"/>
      <c r="G123" s="328"/>
      <c r="H123" s="328"/>
      <c r="I123" s="328"/>
      <c r="J123" s="328"/>
      <c r="K123" s="315"/>
      <c r="L123" s="180"/>
      <c r="M123" s="180"/>
      <c r="N123" s="180"/>
    </row>
    <row r="124" spans="1:14" ht="12.75">
      <c r="A124" s="188"/>
      <c r="B124" s="462"/>
      <c r="C124" s="462"/>
      <c r="D124" s="188"/>
      <c r="E124" s="188"/>
      <c r="F124" s="188"/>
      <c r="G124" s="328"/>
      <c r="H124" s="328"/>
      <c r="I124" s="328"/>
      <c r="J124" s="328"/>
      <c r="K124" s="315"/>
      <c r="L124" s="180"/>
      <c r="M124" s="180"/>
      <c r="N124" s="180"/>
    </row>
    <row r="125" spans="1:14" ht="12.75">
      <c r="A125" s="188"/>
      <c r="B125" s="286"/>
      <c r="C125" s="188"/>
      <c r="D125" s="188"/>
      <c r="E125" s="188"/>
      <c r="F125" s="188"/>
      <c r="G125" s="340"/>
      <c r="H125" s="340"/>
      <c r="I125" s="340"/>
      <c r="J125" s="340"/>
      <c r="K125" s="315"/>
      <c r="L125" s="180"/>
      <c r="M125" s="180"/>
      <c r="N125" s="180"/>
    </row>
    <row r="126" spans="1:14" ht="12.75">
      <c r="A126" s="188"/>
      <c r="B126" s="286"/>
      <c r="C126" s="188"/>
      <c r="D126" s="188"/>
      <c r="E126" s="188"/>
      <c r="F126" s="188"/>
      <c r="G126" s="340"/>
      <c r="H126" s="340"/>
      <c r="I126" s="340"/>
      <c r="J126" s="340"/>
      <c r="K126" s="315"/>
      <c r="L126" s="180"/>
      <c r="M126" s="180"/>
      <c r="N126" s="180"/>
    </row>
    <row r="127" spans="1:14" ht="12.75">
      <c r="A127" s="341"/>
      <c r="B127" s="342"/>
      <c r="C127" s="188"/>
      <c r="D127" s="188"/>
      <c r="E127" s="188"/>
      <c r="F127" s="188"/>
      <c r="G127" s="340"/>
      <c r="H127" s="340"/>
      <c r="I127" s="340"/>
      <c r="J127" s="340"/>
      <c r="K127" s="315"/>
      <c r="L127" s="180"/>
      <c r="M127" s="180"/>
      <c r="N127" s="180"/>
    </row>
    <row r="128" spans="1:14" ht="12.75">
      <c r="A128" s="188"/>
      <c r="B128" s="334"/>
      <c r="C128" s="188"/>
      <c r="D128" s="188"/>
      <c r="E128" s="188"/>
      <c r="F128" s="188"/>
      <c r="G128" s="328"/>
      <c r="H128" s="328"/>
      <c r="I128" s="328"/>
      <c r="J128" s="361"/>
      <c r="K128" s="315"/>
      <c r="L128" s="180"/>
      <c r="M128" s="180"/>
      <c r="N128" s="180"/>
    </row>
    <row r="129" spans="1:14" ht="12.75">
      <c r="A129" s="188"/>
      <c r="B129" s="334"/>
      <c r="C129" s="188"/>
      <c r="D129" s="188"/>
      <c r="E129" s="188"/>
      <c r="F129" s="188"/>
      <c r="G129" s="328"/>
      <c r="H129" s="328"/>
      <c r="I129" s="328"/>
      <c r="J129" s="362"/>
      <c r="K129" s="315"/>
      <c r="L129" s="180"/>
      <c r="M129" s="180"/>
      <c r="N129" s="180"/>
    </row>
    <row r="130" spans="1:14" ht="12.75">
      <c r="A130" s="188"/>
      <c r="B130" s="188"/>
      <c r="C130" s="188"/>
      <c r="D130" s="188"/>
      <c r="E130" s="188"/>
      <c r="F130" s="188"/>
      <c r="G130" s="340"/>
      <c r="H130" s="340"/>
      <c r="I130" s="340"/>
      <c r="J130" s="343"/>
      <c r="K130" s="315"/>
      <c r="L130" s="180"/>
      <c r="M130" s="180"/>
      <c r="N130" s="180"/>
    </row>
    <row r="131" spans="1:14" ht="12.75">
      <c r="A131" s="188"/>
      <c r="B131" s="286"/>
      <c r="C131" s="188"/>
      <c r="D131" s="188"/>
      <c r="E131" s="188"/>
      <c r="F131" s="188"/>
      <c r="G131" s="328"/>
      <c r="H131" s="328"/>
      <c r="I131" s="328"/>
      <c r="J131" s="328"/>
      <c r="K131" s="315"/>
      <c r="L131" s="180"/>
      <c r="M131" s="180"/>
      <c r="N131" s="180"/>
    </row>
    <row r="132" spans="1:14" ht="12.75">
      <c r="A132" s="341"/>
      <c r="B132" s="342"/>
      <c r="C132" s="188"/>
      <c r="D132" s="188"/>
      <c r="E132" s="188"/>
      <c r="F132" s="188"/>
      <c r="G132" s="340"/>
      <c r="H132" s="340"/>
      <c r="I132" s="340"/>
      <c r="J132" s="340"/>
      <c r="K132" s="344"/>
      <c r="L132" s="180"/>
      <c r="M132" s="180"/>
      <c r="N132" s="180"/>
    </row>
    <row r="133" spans="1:14" ht="12.75">
      <c r="A133" s="330"/>
      <c r="B133" s="334"/>
      <c r="C133" s="188"/>
      <c r="D133" s="188"/>
      <c r="E133" s="188"/>
      <c r="F133" s="188"/>
      <c r="G133" s="336"/>
      <c r="H133" s="336"/>
      <c r="I133" s="336"/>
      <c r="J133" s="363"/>
      <c r="K133" s="315"/>
      <c r="L133" s="180"/>
      <c r="M133" s="180"/>
      <c r="N133" s="180"/>
    </row>
    <row r="134" spans="1:14" ht="12.75">
      <c r="A134" s="188"/>
      <c r="B134" s="334"/>
      <c r="C134" s="188"/>
      <c r="D134" s="188"/>
      <c r="E134" s="188"/>
      <c r="F134" s="188"/>
      <c r="G134" s="191"/>
      <c r="H134" s="191"/>
      <c r="I134" s="191"/>
      <c r="J134" s="361"/>
      <c r="K134" s="315"/>
      <c r="L134" s="180"/>
      <c r="M134" s="180"/>
      <c r="N134" s="180"/>
    </row>
    <row r="135" spans="1:14" ht="12.75">
      <c r="A135" s="188"/>
      <c r="B135" s="334"/>
      <c r="C135" s="188"/>
      <c r="D135" s="188"/>
      <c r="E135" s="188"/>
      <c r="F135" s="188"/>
      <c r="G135" s="191"/>
      <c r="H135" s="191"/>
      <c r="I135" s="191"/>
      <c r="J135" s="361"/>
      <c r="K135" s="315"/>
      <c r="L135" s="180"/>
      <c r="M135" s="180"/>
      <c r="N135" s="180"/>
    </row>
    <row r="136" spans="1:14" ht="12.75">
      <c r="A136" s="188"/>
      <c r="B136" s="188"/>
      <c r="C136" s="188"/>
      <c r="D136" s="188"/>
      <c r="E136" s="188"/>
      <c r="F136" s="188"/>
      <c r="G136" s="364"/>
      <c r="H136" s="364"/>
      <c r="I136" s="364"/>
      <c r="J136" s="365"/>
      <c r="K136" s="315"/>
      <c r="L136" s="180"/>
      <c r="M136" s="180"/>
      <c r="N136" s="180"/>
    </row>
    <row r="137" spans="1:14" ht="12.75">
      <c r="A137" s="188"/>
      <c r="B137" s="188"/>
      <c r="C137" s="188"/>
      <c r="D137" s="188"/>
      <c r="E137" s="188"/>
      <c r="F137" s="188"/>
      <c r="G137" s="328"/>
      <c r="H137" s="328"/>
      <c r="I137" s="328"/>
      <c r="J137" s="329"/>
      <c r="K137" s="315"/>
      <c r="L137" s="180"/>
      <c r="M137" s="180"/>
      <c r="N137" s="180"/>
    </row>
    <row r="138" spans="1:14" ht="12.75">
      <c r="A138" s="341"/>
      <c r="B138" s="342"/>
      <c r="C138" s="188"/>
      <c r="D138" s="188"/>
      <c r="E138" s="188"/>
      <c r="F138" s="188"/>
      <c r="G138" s="340"/>
      <c r="H138" s="340"/>
      <c r="I138" s="340"/>
      <c r="J138" s="340"/>
      <c r="K138" s="344"/>
      <c r="L138" s="180"/>
      <c r="M138" s="180"/>
      <c r="N138" s="180"/>
    </row>
    <row r="139" spans="1:14" ht="12.75">
      <c r="A139" s="188"/>
      <c r="B139" s="334"/>
      <c r="C139" s="188"/>
      <c r="D139" s="188"/>
      <c r="E139" s="188"/>
      <c r="F139" s="188"/>
      <c r="G139" s="328"/>
      <c r="H139" s="328"/>
      <c r="I139" s="328"/>
      <c r="J139" s="328"/>
      <c r="K139" s="315"/>
      <c r="L139" s="180"/>
      <c r="M139" s="180"/>
      <c r="N139" s="180"/>
    </row>
    <row r="140" spans="1:14" ht="12.75">
      <c r="A140" s="188"/>
      <c r="B140" s="334"/>
      <c r="C140" s="188"/>
      <c r="D140" s="188"/>
      <c r="E140" s="188"/>
      <c r="F140" s="188"/>
      <c r="G140" s="328"/>
      <c r="H140" s="328"/>
      <c r="I140" s="328"/>
      <c r="J140" s="328"/>
      <c r="K140" s="315"/>
      <c r="L140" s="180"/>
      <c r="M140" s="180"/>
      <c r="N140" s="180"/>
    </row>
    <row r="141" spans="1:14" ht="12.75">
      <c r="A141" s="188"/>
      <c r="B141" s="334"/>
      <c r="C141" s="188"/>
      <c r="D141" s="188"/>
      <c r="E141" s="188"/>
      <c r="F141" s="188"/>
      <c r="G141" s="328"/>
      <c r="H141" s="328"/>
      <c r="I141" s="328"/>
      <c r="J141" s="328"/>
      <c r="K141" s="315"/>
      <c r="L141" s="180"/>
      <c r="M141" s="180"/>
      <c r="N141" s="180"/>
    </row>
    <row r="142" spans="1:14" ht="12.75">
      <c r="A142" s="188"/>
      <c r="B142" s="188"/>
      <c r="C142" s="188"/>
      <c r="D142" s="188"/>
      <c r="E142" s="366"/>
      <c r="F142" s="366"/>
      <c r="G142" s="340"/>
      <c r="H142" s="340"/>
      <c r="I142" s="340"/>
      <c r="J142" s="343"/>
      <c r="K142" s="315"/>
      <c r="L142" s="180"/>
      <c r="M142" s="180"/>
      <c r="N142" s="180"/>
    </row>
    <row r="143" spans="1:14" ht="12.75">
      <c r="A143" s="188"/>
      <c r="B143" s="188"/>
      <c r="C143" s="188"/>
      <c r="D143" s="188"/>
      <c r="E143" s="188"/>
      <c r="F143" s="188"/>
      <c r="G143" s="328"/>
      <c r="H143" s="328"/>
      <c r="I143" s="328"/>
      <c r="J143" s="329"/>
      <c r="K143" s="315"/>
      <c r="L143" s="180"/>
      <c r="M143" s="180"/>
      <c r="N143" s="180"/>
    </row>
    <row r="144" spans="1:14" ht="12.75">
      <c r="A144" s="188"/>
      <c r="B144" s="188"/>
      <c r="C144" s="188"/>
      <c r="D144" s="188"/>
      <c r="E144" s="188"/>
      <c r="F144" s="188"/>
      <c r="G144" s="328"/>
      <c r="H144" s="328"/>
      <c r="I144" s="328"/>
      <c r="J144" s="329"/>
      <c r="K144" s="315"/>
      <c r="L144" s="180"/>
      <c r="M144" s="180"/>
      <c r="N144" s="180"/>
    </row>
    <row r="145" spans="1:14" ht="12.75">
      <c r="A145" s="188"/>
      <c r="B145" s="188"/>
      <c r="C145" s="188"/>
      <c r="D145" s="188"/>
      <c r="E145" s="188"/>
      <c r="F145" s="188"/>
      <c r="G145" s="328"/>
      <c r="H145" s="328"/>
      <c r="I145" s="328"/>
      <c r="J145" s="329"/>
      <c r="K145" s="315"/>
      <c r="L145" s="180"/>
      <c r="M145" s="180"/>
      <c r="N145" s="180"/>
    </row>
    <row r="146" spans="1:14" ht="12.75">
      <c r="A146" s="188"/>
      <c r="B146" s="188"/>
      <c r="C146" s="188"/>
      <c r="D146" s="188"/>
      <c r="E146" s="188"/>
      <c r="F146" s="188"/>
      <c r="G146" s="328"/>
      <c r="H146" s="328"/>
      <c r="I146" s="328"/>
      <c r="J146" s="329"/>
      <c r="K146" s="315"/>
      <c r="L146" s="180"/>
      <c r="M146" s="180"/>
      <c r="N146" s="180"/>
    </row>
    <row r="147" spans="1:14" ht="12.75">
      <c r="A147" s="188"/>
      <c r="B147" s="188"/>
      <c r="C147" s="188"/>
      <c r="D147" s="188"/>
      <c r="E147" s="188"/>
      <c r="F147" s="188"/>
      <c r="G147" s="328"/>
      <c r="H147" s="328"/>
      <c r="I147" s="328"/>
      <c r="J147" s="329"/>
      <c r="K147" s="315"/>
      <c r="L147" s="180"/>
      <c r="M147" s="180"/>
      <c r="N147" s="180"/>
    </row>
    <row r="148" spans="1:14" ht="12.75">
      <c r="A148" s="341"/>
      <c r="B148" s="463"/>
      <c r="C148" s="463"/>
      <c r="D148" s="463"/>
      <c r="E148" s="463"/>
      <c r="F148" s="367"/>
      <c r="G148" s="340"/>
      <c r="H148" s="340"/>
      <c r="I148" s="340"/>
      <c r="J148" s="340"/>
      <c r="K148" s="368"/>
      <c r="L148" s="180"/>
      <c r="M148" s="180"/>
      <c r="N148" s="180"/>
    </row>
    <row r="149" spans="1:14" ht="12.75">
      <c r="A149" s="369"/>
      <c r="B149" s="370"/>
      <c r="C149" s="188"/>
      <c r="D149" s="188"/>
      <c r="E149" s="188"/>
      <c r="F149" s="188"/>
      <c r="G149" s="338"/>
      <c r="H149" s="338"/>
      <c r="I149" s="338"/>
      <c r="J149" s="338"/>
      <c r="K149" s="315"/>
      <c r="L149" s="180"/>
      <c r="M149" s="180"/>
      <c r="N149" s="180"/>
    </row>
    <row r="150" spans="1:14" ht="12.75">
      <c r="A150" s="369"/>
      <c r="B150" s="464"/>
      <c r="C150" s="464"/>
      <c r="D150" s="464"/>
      <c r="E150" s="464"/>
      <c r="F150" s="371"/>
      <c r="G150" s="372"/>
      <c r="H150" s="372"/>
      <c r="I150" s="372"/>
      <c r="J150" s="336"/>
      <c r="K150" s="315"/>
      <c r="L150" s="180"/>
      <c r="M150" s="180"/>
      <c r="N150" s="180"/>
    </row>
    <row r="151" spans="1:14" ht="12.75">
      <c r="A151" s="369"/>
      <c r="B151" s="371"/>
      <c r="C151" s="465"/>
      <c r="D151" s="465"/>
      <c r="E151" s="465"/>
      <c r="F151" s="373"/>
      <c r="G151" s="336"/>
      <c r="H151" s="336"/>
      <c r="I151" s="336"/>
      <c r="J151" s="336"/>
      <c r="K151" s="315"/>
      <c r="L151" s="180"/>
      <c r="M151" s="180"/>
      <c r="N151" s="180"/>
    </row>
    <row r="152" spans="1:14" ht="12.75">
      <c r="A152" s="369"/>
      <c r="B152" s="371"/>
      <c r="C152" s="465"/>
      <c r="D152" s="465"/>
      <c r="E152" s="465"/>
      <c r="F152" s="373"/>
      <c r="G152" s="336"/>
      <c r="H152" s="336"/>
      <c r="I152" s="336"/>
      <c r="J152" s="336"/>
      <c r="K152" s="315"/>
      <c r="L152" s="180"/>
      <c r="M152" s="180"/>
      <c r="N152" s="180"/>
    </row>
    <row r="153" spans="1:14" ht="12.75">
      <c r="A153" s="369"/>
      <c r="B153" s="371"/>
      <c r="C153" s="465"/>
      <c r="D153" s="465"/>
      <c r="E153" s="465"/>
      <c r="F153" s="373"/>
      <c r="G153" s="336"/>
      <c r="H153" s="336"/>
      <c r="I153" s="336"/>
      <c r="J153" s="336"/>
      <c r="K153" s="315"/>
      <c r="L153" s="180"/>
      <c r="M153" s="180"/>
      <c r="N153" s="180"/>
    </row>
    <row r="154" spans="1:14" ht="12.75">
      <c r="A154" s="369"/>
      <c r="B154" s="371"/>
      <c r="C154" s="465"/>
      <c r="D154" s="465"/>
      <c r="E154" s="465"/>
      <c r="F154" s="373"/>
      <c r="G154" s="336"/>
      <c r="H154" s="336"/>
      <c r="I154" s="336"/>
      <c r="J154" s="336"/>
      <c r="K154" s="315"/>
      <c r="L154" s="180"/>
      <c r="M154" s="180"/>
      <c r="N154" s="180"/>
    </row>
    <row r="155" spans="1:14" ht="12.75">
      <c r="A155" s="369"/>
      <c r="B155" s="371"/>
      <c r="C155" s="466"/>
      <c r="D155" s="466"/>
      <c r="E155" s="373"/>
      <c r="F155" s="373"/>
      <c r="G155" s="336"/>
      <c r="H155" s="336"/>
      <c r="I155" s="336"/>
      <c r="J155" s="336"/>
      <c r="K155" s="315"/>
      <c r="L155" s="180"/>
      <c r="M155" s="180"/>
      <c r="N155" s="180"/>
    </row>
    <row r="156" spans="1:14" ht="12.75">
      <c r="A156" s="369"/>
      <c r="B156" s="464"/>
      <c r="C156" s="460"/>
      <c r="D156" s="460"/>
      <c r="E156" s="460"/>
      <c r="F156" s="350"/>
      <c r="G156" s="338"/>
      <c r="H156" s="338"/>
      <c r="I156" s="338"/>
      <c r="J156" s="338"/>
      <c r="K156" s="315"/>
      <c r="L156" s="180"/>
      <c r="M156" s="180"/>
      <c r="N156" s="180"/>
    </row>
    <row r="157" spans="1:14" ht="12.75">
      <c r="A157" s="369"/>
      <c r="B157" s="374"/>
      <c r="C157" s="350"/>
      <c r="D157" s="350"/>
      <c r="E157" s="350"/>
      <c r="F157" s="350"/>
      <c r="G157" s="252"/>
      <c r="H157" s="252"/>
      <c r="I157" s="252"/>
      <c r="J157" s="338"/>
      <c r="K157" s="315"/>
      <c r="L157" s="180"/>
      <c r="M157" s="180"/>
      <c r="N157" s="180"/>
    </row>
    <row r="158" spans="1:14" ht="12.75">
      <c r="A158" s="188"/>
      <c r="B158" s="374"/>
      <c r="C158" s="188"/>
      <c r="D158" s="188"/>
      <c r="E158" s="188"/>
      <c r="F158" s="188"/>
      <c r="G158" s="252"/>
      <c r="H158" s="252"/>
      <c r="I158" s="252"/>
      <c r="J158" s="329"/>
      <c r="K158" s="315"/>
      <c r="L158" s="180"/>
      <c r="M158" s="180"/>
      <c r="N158" s="180"/>
    </row>
    <row r="159" spans="1:14" ht="12.75">
      <c r="A159" s="319"/>
      <c r="B159" s="374"/>
      <c r="C159" s="319"/>
      <c r="D159" s="319"/>
      <c r="E159" s="319"/>
      <c r="F159" s="319"/>
      <c r="G159" s="375"/>
      <c r="H159" s="375"/>
      <c r="I159" s="375"/>
      <c r="J159" s="375"/>
      <c r="K159" s="320"/>
      <c r="L159" s="180"/>
      <c r="M159" s="180"/>
      <c r="N159" s="180"/>
    </row>
    <row r="160" spans="1:14" ht="12.75">
      <c r="A160" s="188"/>
      <c r="B160" s="188"/>
      <c r="C160" s="188"/>
      <c r="D160" s="188"/>
      <c r="E160" s="188"/>
      <c r="F160" s="188"/>
      <c r="G160" s="328"/>
      <c r="H160" s="328"/>
      <c r="I160" s="328"/>
      <c r="J160" s="329"/>
      <c r="K160" s="315"/>
      <c r="L160" s="180"/>
      <c r="M160" s="180"/>
      <c r="N160" s="180"/>
    </row>
    <row r="161" spans="1:14" ht="12.75">
      <c r="A161" s="376"/>
      <c r="B161" s="376"/>
      <c r="C161" s="188"/>
      <c r="D161" s="188"/>
      <c r="E161" s="188"/>
      <c r="F161" s="188"/>
      <c r="G161" s="328"/>
      <c r="H161" s="328"/>
      <c r="I161" s="328"/>
      <c r="J161" s="329"/>
      <c r="K161" s="315"/>
      <c r="L161" s="180"/>
      <c r="M161" s="180"/>
      <c r="N161" s="180"/>
    </row>
    <row r="162" spans="1:14" ht="12.75">
      <c r="A162" s="342"/>
      <c r="B162" s="467"/>
      <c r="C162" s="467"/>
      <c r="D162" s="467"/>
      <c r="E162" s="467"/>
      <c r="F162" s="467"/>
      <c r="G162" s="467"/>
      <c r="H162" s="467"/>
      <c r="I162" s="467"/>
      <c r="J162" s="467"/>
      <c r="K162" s="315"/>
      <c r="L162" s="180"/>
      <c r="M162" s="180"/>
      <c r="N162" s="180"/>
    </row>
    <row r="163" spans="1:14" ht="12.75">
      <c r="A163" s="342"/>
      <c r="B163" s="237"/>
      <c r="C163" s="188"/>
      <c r="D163" s="188"/>
      <c r="E163" s="188"/>
      <c r="F163" s="188"/>
      <c r="G163" s="188"/>
      <c r="H163" s="188"/>
      <c r="I163" s="188"/>
      <c r="J163" s="328"/>
      <c r="K163" s="315"/>
      <c r="L163" s="180"/>
      <c r="M163" s="180"/>
      <c r="N163" s="180"/>
    </row>
    <row r="164" spans="1:14" ht="12.75">
      <c r="A164" s="342"/>
      <c r="B164" s="460"/>
      <c r="C164" s="460"/>
      <c r="D164" s="460"/>
      <c r="E164" s="460"/>
      <c r="F164" s="460"/>
      <c r="G164" s="460"/>
      <c r="H164" s="460"/>
      <c r="I164" s="460"/>
      <c r="J164" s="460"/>
      <c r="K164" s="315"/>
      <c r="L164" s="180"/>
      <c r="M164" s="180"/>
      <c r="N164" s="180"/>
    </row>
    <row r="165" spans="1:14" ht="12.75">
      <c r="A165" s="342"/>
      <c r="B165" s="468"/>
      <c r="C165" s="468"/>
      <c r="D165" s="468"/>
      <c r="E165" s="468"/>
      <c r="F165" s="468"/>
      <c r="G165" s="468"/>
      <c r="H165" s="468"/>
      <c r="I165" s="468"/>
      <c r="J165" s="468"/>
      <c r="K165" s="315"/>
      <c r="L165" s="180"/>
      <c r="M165" s="180"/>
      <c r="N165" s="180"/>
    </row>
    <row r="166" spans="1:14" ht="12.75">
      <c r="A166" s="342"/>
      <c r="B166" s="468"/>
      <c r="C166" s="468"/>
      <c r="D166" s="468"/>
      <c r="E166" s="468"/>
      <c r="F166" s="468"/>
      <c r="G166" s="468"/>
      <c r="H166" s="468"/>
      <c r="I166" s="468"/>
      <c r="J166" s="468"/>
      <c r="K166" s="315"/>
      <c r="L166" s="180"/>
      <c r="M166" s="180"/>
      <c r="N166" s="180"/>
    </row>
    <row r="167" spans="1:14" ht="12.75">
      <c r="A167" s="188"/>
      <c r="B167" s="238"/>
      <c r="C167" s="188"/>
      <c r="D167" s="188"/>
      <c r="E167" s="188"/>
      <c r="F167" s="188"/>
      <c r="G167" s="188"/>
      <c r="H167" s="188"/>
      <c r="I167" s="188"/>
      <c r="J167" s="328"/>
      <c r="K167" s="315"/>
      <c r="L167" s="180"/>
      <c r="M167" s="180"/>
      <c r="N167" s="180"/>
    </row>
    <row r="168" spans="1:14" ht="12.75">
      <c r="A168" s="342"/>
      <c r="B168" s="468"/>
      <c r="C168" s="468"/>
      <c r="D168" s="468"/>
      <c r="E168" s="468"/>
      <c r="F168" s="468"/>
      <c r="G168" s="468"/>
      <c r="H168" s="468"/>
      <c r="I168" s="468"/>
      <c r="J168" s="468"/>
      <c r="K168" s="377"/>
      <c r="L168" s="180"/>
      <c r="M168" s="180"/>
      <c r="N168" s="180"/>
    </row>
    <row r="169" spans="1:14" ht="12.75">
      <c r="A169" s="342"/>
      <c r="B169" s="237"/>
      <c r="C169" s="350"/>
      <c r="D169" s="350"/>
      <c r="E169" s="350"/>
      <c r="F169" s="350"/>
      <c r="G169" s="350"/>
      <c r="H169" s="350"/>
      <c r="I169" s="350"/>
      <c r="J169" s="350"/>
      <c r="K169" s="377"/>
      <c r="L169" s="180"/>
      <c r="M169" s="180"/>
      <c r="N169" s="180"/>
    </row>
    <row r="170" spans="1:14" ht="12.75">
      <c r="A170" s="342"/>
      <c r="B170" s="334"/>
      <c r="C170" s="188"/>
      <c r="D170" s="188"/>
      <c r="E170" s="188"/>
      <c r="F170" s="188"/>
      <c r="G170" s="328"/>
      <c r="H170" s="328"/>
      <c r="I170" s="328"/>
      <c r="J170" s="329"/>
      <c r="K170" s="315"/>
      <c r="L170" s="180"/>
      <c r="M170" s="180"/>
      <c r="N170" s="180"/>
    </row>
    <row r="171" spans="1:14" ht="12.75">
      <c r="A171" s="342"/>
      <c r="B171" s="374"/>
      <c r="C171" s="248"/>
      <c r="D171" s="248"/>
      <c r="E171" s="248"/>
      <c r="F171" s="248"/>
      <c r="G171" s="248"/>
      <c r="H171" s="248"/>
      <c r="I171" s="248"/>
      <c r="J171" s="248"/>
      <c r="K171" s="315"/>
      <c r="L171" s="180"/>
      <c r="M171" s="180"/>
      <c r="N171" s="180"/>
    </row>
    <row r="172" spans="1:14" ht="12.75">
      <c r="A172" s="342"/>
      <c r="B172" s="470"/>
      <c r="C172" s="470"/>
      <c r="D172" s="470"/>
      <c r="E172" s="470"/>
      <c r="F172" s="470"/>
      <c r="G172" s="470"/>
      <c r="H172" s="470"/>
      <c r="I172" s="470"/>
      <c r="J172" s="470"/>
      <c r="K172" s="344"/>
      <c r="L172" s="180"/>
      <c r="M172" s="180"/>
      <c r="N172" s="180"/>
    </row>
    <row r="173" spans="1:14" ht="12.75">
      <c r="A173" s="342"/>
      <c r="B173" s="470"/>
      <c r="C173" s="470"/>
      <c r="D173" s="470"/>
      <c r="E173" s="470"/>
      <c r="F173" s="470"/>
      <c r="G173" s="470"/>
      <c r="H173" s="470"/>
      <c r="I173" s="470"/>
      <c r="J173" s="470"/>
      <c r="K173" s="344"/>
      <c r="L173" s="180"/>
      <c r="M173" s="180"/>
      <c r="N173" s="180"/>
    </row>
    <row r="174" spans="1:14" ht="12.75">
      <c r="A174" s="342"/>
      <c r="B174" s="252"/>
      <c r="C174" s="378"/>
      <c r="D174" s="378"/>
      <c r="E174" s="379"/>
      <c r="F174" s="379"/>
      <c r="G174" s="266"/>
      <c r="H174" s="266"/>
      <c r="I174" s="266"/>
      <c r="J174" s="266"/>
      <c r="K174" s="344"/>
      <c r="L174" s="180"/>
      <c r="M174" s="180"/>
      <c r="N174" s="180"/>
    </row>
    <row r="175" spans="1:14" ht="12.75">
      <c r="A175" s="342"/>
      <c r="B175" s="252"/>
      <c r="C175" s="378"/>
      <c r="D175" s="378"/>
      <c r="E175" s="379"/>
      <c r="F175" s="379"/>
      <c r="G175" s="380"/>
      <c r="H175" s="380"/>
      <c r="I175" s="380"/>
      <c r="J175" s="380"/>
      <c r="K175" s="344"/>
      <c r="L175" s="180"/>
      <c r="M175" s="180"/>
      <c r="N175" s="180"/>
    </row>
    <row r="176" spans="1:14" ht="12.75">
      <c r="A176" s="342"/>
      <c r="B176" s="252"/>
      <c r="C176" s="471"/>
      <c r="D176" s="471"/>
      <c r="E176" s="379"/>
      <c r="F176" s="379"/>
      <c r="G176" s="380"/>
      <c r="H176" s="380"/>
      <c r="I176" s="380"/>
      <c r="J176" s="380"/>
      <c r="K176" s="344"/>
      <c r="L176" s="180"/>
      <c r="M176" s="180"/>
      <c r="N176" s="180"/>
    </row>
    <row r="177" spans="1:14" ht="12.75">
      <c r="A177" s="342"/>
      <c r="B177" s="252"/>
      <c r="C177" s="378"/>
      <c r="D177" s="378"/>
      <c r="E177" s="379"/>
      <c r="F177" s="379"/>
      <c r="G177" s="380"/>
      <c r="H177" s="380"/>
      <c r="I177" s="380"/>
      <c r="J177" s="380"/>
      <c r="K177" s="344"/>
      <c r="L177" s="180"/>
      <c r="M177" s="180"/>
      <c r="N177" s="180"/>
    </row>
    <row r="178" spans="1:14" ht="12.75">
      <c r="A178" s="342"/>
      <c r="B178" s="252"/>
      <c r="C178" s="378"/>
      <c r="D178" s="378"/>
      <c r="E178" s="379"/>
      <c r="F178" s="379"/>
      <c r="G178" s="380"/>
      <c r="H178" s="380"/>
      <c r="I178" s="380"/>
      <c r="J178" s="380"/>
      <c r="K178" s="344"/>
      <c r="L178" s="180"/>
      <c r="M178" s="180"/>
      <c r="N178" s="180"/>
    </row>
    <row r="179" spans="1:14" ht="12.75">
      <c r="A179" s="342"/>
      <c r="B179" s="252"/>
      <c r="C179" s="378"/>
      <c r="D179" s="378"/>
      <c r="E179" s="379"/>
      <c r="F179" s="379"/>
      <c r="G179" s="380"/>
      <c r="H179" s="380"/>
      <c r="I179" s="380"/>
      <c r="J179" s="380"/>
      <c r="K179" s="344"/>
      <c r="L179" s="180"/>
      <c r="M179" s="180"/>
      <c r="N179" s="180"/>
    </row>
    <row r="180" spans="1:14" ht="12.75">
      <c r="A180" s="342"/>
      <c r="B180" s="252"/>
      <c r="C180" s="378"/>
      <c r="D180" s="378"/>
      <c r="E180" s="379"/>
      <c r="F180" s="379"/>
      <c r="G180" s="380"/>
      <c r="H180" s="380"/>
      <c r="I180" s="380"/>
      <c r="J180" s="380"/>
      <c r="K180" s="344"/>
      <c r="L180" s="180"/>
      <c r="M180" s="180"/>
      <c r="N180" s="180"/>
    </row>
    <row r="181" spans="1:14" ht="12.75">
      <c r="A181" s="342"/>
      <c r="B181" s="252"/>
      <c r="C181" s="378"/>
      <c r="D181" s="378"/>
      <c r="E181" s="379"/>
      <c r="F181" s="379"/>
      <c r="G181" s="380"/>
      <c r="H181" s="380"/>
      <c r="I181" s="380"/>
      <c r="J181" s="380"/>
      <c r="K181" s="344"/>
      <c r="L181" s="180"/>
      <c r="M181" s="180"/>
      <c r="N181" s="180"/>
    </row>
    <row r="182" spans="1:14" ht="12.75">
      <c r="A182" s="341"/>
      <c r="B182" s="342"/>
      <c r="C182" s="188"/>
      <c r="D182" s="188"/>
      <c r="E182" s="188"/>
      <c r="F182" s="188"/>
      <c r="G182" s="340"/>
      <c r="H182" s="340"/>
      <c r="I182" s="340"/>
      <c r="J182" s="340"/>
      <c r="K182" s="344"/>
      <c r="L182" s="180"/>
      <c r="M182" s="180"/>
      <c r="N182" s="180"/>
    </row>
    <row r="183" spans="1:14" ht="12.75">
      <c r="A183" s="188"/>
      <c r="B183" s="374"/>
      <c r="C183" s="188"/>
      <c r="D183" s="188"/>
      <c r="E183" s="188"/>
      <c r="F183" s="188"/>
      <c r="G183" s="328"/>
      <c r="H183" s="328"/>
      <c r="I183" s="328"/>
      <c r="J183" s="328"/>
      <c r="K183" s="344"/>
      <c r="L183" s="180"/>
      <c r="M183" s="180"/>
      <c r="N183" s="180"/>
    </row>
    <row r="184" spans="1:14" ht="12.75">
      <c r="A184" s="188"/>
      <c r="B184" s="374"/>
      <c r="C184" s="188"/>
      <c r="D184" s="188"/>
      <c r="E184" s="188"/>
      <c r="F184" s="188"/>
      <c r="G184" s="328"/>
      <c r="H184" s="328"/>
      <c r="I184" s="328"/>
      <c r="J184" s="328"/>
      <c r="K184" s="344"/>
      <c r="L184" s="180"/>
      <c r="M184" s="180"/>
      <c r="N184" s="180"/>
    </row>
    <row r="185" spans="1:14" ht="12.75">
      <c r="A185" s="188"/>
      <c r="B185" s="374"/>
      <c r="C185" s="188"/>
      <c r="D185" s="188"/>
      <c r="E185" s="188"/>
      <c r="F185" s="188"/>
      <c r="G185" s="328"/>
      <c r="H185" s="328"/>
      <c r="I185" s="328"/>
      <c r="J185" s="328"/>
      <c r="K185" s="315"/>
      <c r="L185" s="180"/>
      <c r="M185" s="180"/>
      <c r="N185" s="180"/>
    </row>
    <row r="186" spans="1:14" ht="12.75">
      <c r="A186" s="188"/>
      <c r="B186" s="374"/>
      <c r="C186" s="188"/>
      <c r="D186" s="188"/>
      <c r="E186" s="188"/>
      <c r="F186" s="188"/>
      <c r="G186" s="328"/>
      <c r="H186" s="328"/>
      <c r="I186" s="328"/>
      <c r="J186" s="328"/>
      <c r="K186" s="315"/>
      <c r="L186" s="180"/>
      <c r="M186" s="180"/>
      <c r="N186" s="180"/>
    </row>
    <row r="187" spans="1:14" ht="12.75">
      <c r="A187" s="188"/>
      <c r="B187" s="188"/>
      <c r="C187" s="188"/>
      <c r="D187" s="188"/>
      <c r="E187" s="188"/>
      <c r="F187" s="188"/>
      <c r="G187" s="375"/>
      <c r="H187" s="375"/>
      <c r="I187" s="375"/>
      <c r="J187" s="375"/>
      <c r="K187" s="315"/>
      <c r="L187" s="180"/>
      <c r="M187" s="180"/>
      <c r="N187" s="180"/>
    </row>
    <row r="188" spans="1:14" ht="12.75">
      <c r="A188" s="381"/>
      <c r="B188" s="191"/>
      <c r="C188" s="191"/>
      <c r="D188" s="191"/>
      <c r="E188" s="191"/>
      <c r="F188" s="191"/>
      <c r="G188" s="191"/>
      <c r="H188" s="191"/>
      <c r="I188" s="191"/>
      <c r="J188" s="335"/>
      <c r="K188" s="315"/>
      <c r="L188" s="180"/>
      <c r="M188" s="180"/>
      <c r="N188" s="180"/>
    </row>
    <row r="189" spans="1:14" ht="12.75">
      <c r="A189" s="381"/>
      <c r="B189" s="191"/>
      <c r="C189" s="191"/>
      <c r="D189" s="191"/>
      <c r="E189" s="469"/>
      <c r="F189" s="469"/>
      <c r="G189" s="469"/>
      <c r="H189" s="469"/>
      <c r="I189" s="469"/>
      <c r="J189" s="469"/>
      <c r="K189" s="315"/>
      <c r="L189" s="180"/>
      <c r="M189" s="180"/>
      <c r="N189" s="180"/>
    </row>
    <row r="190" spans="1:14" ht="12.75">
      <c r="A190" s="381"/>
      <c r="B190" s="191"/>
      <c r="C190" s="382"/>
      <c r="D190" s="383"/>
      <c r="E190" s="384"/>
      <c r="F190" s="384"/>
      <c r="G190" s="385"/>
      <c r="H190" s="385"/>
      <c r="I190" s="385"/>
      <c r="J190" s="385"/>
      <c r="K190" s="386"/>
      <c r="L190" s="180"/>
      <c r="M190" s="180"/>
      <c r="N190" s="180"/>
    </row>
    <row r="191" spans="1:14" ht="12.75">
      <c r="A191" s="381"/>
      <c r="B191" s="191"/>
      <c r="C191" s="191"/>
      <c r="D191" s="191"/>
      <c r="E191" s="191"/>
      <c r="F191" s="191"/>
      <c r="G191" s="191"/>
      <c r="H191" s="191"/>
      <c r="I191" s="191"/>
      <c r="J191" s="335"/>
      <c r="K191" s="315"/>
      <c r="L191" s="180"/>
      <c r="M191" s="180"/>
      <c r="N191" s="180"/>
    </row>
    <row r="192" spans="1:14" ht="12.75">
      <c r="A192" s="381"/>
      <c r="B192" s="191"/>
      <c r="C192" s="191"/>
      <c r="D192" s="191"/>
      <c r="E192" s="191"/>
      <c r="F192" s="191"/>
      <c r="G192" s="191"/>
      <c r="H192" s="191"/>
      <c r="I192" s="191"/>
      <c r="J192" s="335"/>
      <c r="K192" s="315"/>
      <c r="L192" s="180"/>
      <c r="M192" s="180"/>
      <c r="N192" s="180"/>
    </row>
    <row r="193" spans="1:14" ht="12.75">
      <c r="A193" s="381"/>
      <c r="B193" s="191"/>
      <c r="C193" s="191"/>
      <c r="D193" s="191"/>
      <c r="E193" s="191"/>
      <c r="F193" s="191"/>
      <c r="G193" s="191"/>
      <c r="H193" s="191"/>
      <c r="I193" s="191"/>
      <c r="J193" s="335"/>
      <c r="K193" s="315"/>
      <c r="L193" s="180"/>
      <c r="M193" s="180"/>
      <c r="N193" s="180"/>
    </row>
    <row r="194" spans="1:14" ht="12.75">
      <c r="A194" s="381"/>
      <c r="B194" s="191"/>
      <c r="C194" s="191"/>
      <c r="D194" s="191"/>
      <c r="E194" s="191"/>
      <c r="F194" s="191"/>
      <c r="G194" s="191"/>
      <c r="H194" s="191"/>
      <c r="I194" s="191"/>
      <c r="J194" s="335"/>
      <c r="K194" s="315"/>
      <c r="L194" s="180"/>
      <c r="M194" s="180"/>
      <c r="N194" s="180"/>
    </row>
    <row r="195" spans="1:14" ht="12.75">
      <c r="A195" s="381"/>
      <c r="B195" s="191"/>
      <c r="C195" s="191"/>
      <c r="D195" s="191"/>
      <c r="E195" s="191"/>
      <c r="F195" s="191"/>
      <c r="G195" s="191"/>
      <c r="H195" s="191"/>
      <c r="I195" s="191"/>
      <c r="J195" s="335"/>
      <c r="K195" s="315"/>
      <c r="L195" s="180"/>
      <c r="M195" s="180"/>
      <c r="N195" s="180"/>
    </row>
    <row r="196" spans="1:14" ht="12.75">
      <c r="A196" s="381"/>
      <c r="B196" s="191"/>
      <c r="C196" s="191"/>
      <c r="D196" s="191"/>
      <c r="E196" s="191"/>
      <c r="F196" s="191"/>
      <c r="G196" s="191"/>
      <c r="H196" s="191"/>
      <c r="I196" s="191"/>
      <c r="J196" s="335"/>
      <c r="K196" s="315"/>
      <c r="L196" s="180"/>
      <c r="M196" s="180"/>
      <c r="N196" s="180"/>
    </row>
    <row r="197" spans="1:14" ht="12.75">
      <c r="A197" s="381"/>
      <c r="B197" s="191"/>
      <c r="C197" s="191"/>
      <c r="D197" s="191"/>
      <c r="E197" s="191"/>
      <c r="F197" s="191"/>
      <c r="G197" s="191"/>
      <c r="H197" s="191"/>
      <c r="I197" s="191"/>
      <c r="J197" s="335"/>
      <c r="K197" s="315"/>
      <c r="L197" s="180"/>
      <c r="M197" s="180"/>
      <c r="N197" s="180"/>
    </row>
    <row r="198" spans="1:14" ht="12.75">
      <c r="A198" s="381"/>
      <c r="B198" s="191"/>
      <c r="C198" s="191"/>
      <c r="D198" s="191"/>
      <c r="E198" s="191"/>
      <c r="F198" s="191"/>
      <c r="G198" s="191"/>
      <c r="H198" s="191"/>
      <c r="I198" s="191"/>
      <c r="J198" s="335"/>
      <c r="K198" s="315"/>
      <c r="L198" s="180"/>
      <c r="M198" s="180"/>
      <c r="N198" s="180"/>
    </row>
    <row r="199" spans="1:14" ht="12.75">
      <c r="A199" s="381"/>
      <c r="B199" s="191"/>
      <c r="C199" s="191"/>
      <c r="D199" s="191"/>
      <c r="E199" s="191"/>
      <c r="F199" s="191"/>
      <c r="G199" s="191"/>
      <c r="H199" s="191"/>
      <c r="I199" s="191"/>
      <c r="J199" s="335"/>
      <c r="K199" s="315"/>
      <c r="L199" s="180"/>
      <c r="M199" s="180"/>
      <c r="N199" s="180"/>
    </row>
    <row r="200" spans="1:14" ht="12.75">
      <c r="A200" s="381"/>
      <c r="B200" s="191"/>
      <c r="C200" s="191"/>
      <c r="D200" s="191"/>
      <c r="E200" s="191"/>
      <c r="F200" s="191"/>
      <c r="G200" s="191"/>
      <c r="H200" s="191"/>
      <c r="I200" s="191"/>
      <c r="J200" s="335"/>
      <c r="K200" s="315"/>
      <c r="L200" s="180"/>
      <c r="M200" s="180"/>
      <c r="N200" s="180"/>
    </row>
    <row r="201" spans="1:14" ht="12.75">
      <c r="A201" s="381"/>
      <c r="B201" s="191"/>
      <c r="C201" s="191"/>
      <c r="D201" s="191"/>
      <c r="E201" s="191"/>
      <c r="F201" s="191"/>
      <c r="G201" s="191"/>
      <c r="H201" s="191"/>
      <c r="I201" s="191"/>
      <c r="J201" s="335"/>
      <c r="K201" s="315"/>
      <c r="L201" s="180"/>
      <c r="M201" s="180"/>
      <c r="N201" s="180"/>
    </row>
    <row r="202" spans="1:14" ht="12.75">
      <c r="A202" s="381"/>
      <c r="B202" s="191"/>
      <c r="C202" s="191"/>
      <c r="D202" s="191"/>
      <c r="E202" s="191"/>
      <c r="F202" s="191"/>
      <c r="G202" s="191"/>
      <c r="H202" s="191"/>
      <c r="I202" s="191"/>
      <c r="J202" s="335"/>
      <c r="K202" s="315"/>
      <c r="L202" s="180"/>
      <c r="M202" s="180"/>
      <c r="N202" s="180"/>
    </row>
    <row r="203" spans="1:14" ht="12.75">
      <c r="A203" s="191"/>
      <c r="B203" s="191"/>
      <c r="C203" s="191"/>
      <c r="D203" s="191"/>
      <c r="E203" s="191"/>
      <c r="F203" s="191"/>
      <c r="G203" s="191"/>
      <c r="H203" s="191"/>
      <c r="I203" s="191"/>
      <c r="J203" s="191"/>
      <c r="K203" s="315"/>
      <c r="L203" s="180"/>
      <c r="M203" s="180"/>
      <c r="N203" s="180"/>
    </row>
    <row r="204" spans="1:14" ht="12.75">
      <c r="A204" s="191"/>
      <c r="B204" s="191"/>
      <c r="C204" s="191"/>
      <c r="D204" s="191"/>
      <c r="E204" s="191"/>
      <c r="F204" s="191"/>
      <c r="G204" s="191"/>
      <c r="H204" s="191"/>
      <c r="I204" s="191"/>
      <c r="J204" s="191"/>
      <c r="K204" s="315"/>
      <c r="L204" s="180"/>
      <c r="M204" s="180"/>
      <c r="N204" s="180"/>
    </row>
    <row r="205" spans="1:14" ht="12.75">
      <c r="A205" s="191"/>
      <c r="B205" s="191"/>
      <c r="C205" s="191"/>
      <c r="D205" s="191"/>
      <c r="E205" s="191"/>
      <c r="F205" s="191"/>
      <c r="G205" s="191"/>
      <c r="H205" s="191"/>
      <c r="I205" s="191"/>
      <c r="J205" s="191"/>
      <c r="K205" s="315"/>
      <c r="L205" s="180"/>
      <c r="M205" s="180"/>
      <c r="N205" s="180"/>
    </row>
    <row r="206" spans="1:14" ht="12.75">
      <c r="A206" s="191"/>
      <c r="B206" s="191"/>
      <c r="C206" s="191"/>
      <c r="D206" s="191"/>
      <c r="E206" s="191"/>
      <c r="F206" s="191"/>
      <c r="G206" s="191"/>
      <c r="H206" s="191"/>
      <c r="I206" s="191"/>
      <c r="J206" s="191"/>
      <c r="K206" s="315"/>
      <c r="L206" s="180"/>
      <c r="M206" s="180"/>
      <c r="N206" s="180"/>
    </row>
    <row r="207" spans="1:14" ht="12.75">
      <c r="A207" s="191"/>
      <c r="B207" s="191"/>
      <c r="C207" s="191"/>
      <c r="D207" s="191"/>
      <c r="E207" s="191"/>
      <c r="F207" s="191"/>
      <c r="G207" s="191"/>
      <c r="H207" s="191"/>
      <c r="I207" s="191"/>
      <c r="J207" s="191"/>
      <c r="K207" s="315"/>
      <c r="L207" s="180"/>
      <c r="M207" s="180"/>
      <c r="N207" s="180"/>
    </row>
    <row r="208" spans="1:14" ht="12.75">
      <c r="A208" s="191"/>
      <c r="B208" s="191"/>
      <c r="C208" s="191"/>
      <c r="D208" s="191"/>
      <c r="E208" s="191"/>
      <c r="F208" s="191"/>
      <c r="G208" s="191"/>
      <c r="H208" s="191"/>
      <c r="I208" s="191"/>
      <c r="J208" s="191"/>
      <c r="K208" s="315"/>
      <c r="L208" s="180"/>
      <c r="M208" s="180"/>
      <c r="N208" s="180"/>
    </row>
    <row r="209" spans="1:14" ht="12.75">
      <c r="A209" s="191"/>
      <c r="B209" s="191"/>
      <c r="C209" s="191"/>
      <c r="D209" s="191"/>
      <c r="E209" s="191"/>
      <c r="F209" s="191"/>
      <c r="G209" s="191"/>
      <c r="H209" s="191"/>
      <c r="I209" s="191"/>
      <c r="J209" s="191"/>
      <c r="K209" s="315"/>
      <c r="L209" s="180"/>
      <c r="M209" s="180"/>
      <c r="N209" s="180"/>
    </row>
    <row r="210" spans="1:14" ht="12.75">
      <c r="A210" s="191"/>
      <c r="B210" s="191"/>
      <c r="C210" s="191"/>
      <c r="D210" s="191"/>
      <c r="E210" s="191"/>
      <c r="F210" s="191"/>
      <c r="G210" s="191"/>
      <c r="H210" s="191"/>
      <c r="I210" s="191"/>
      <c r="J210" s="191"/>
      <c r="K210" s="315"/>
      <c r="L210" s="180"/>
      <c r="M210" s="180"/>
      <c r="N210" s="180"/>
    </row>
    <row r="211" spans="1:14" ht="12.75">
      <c r="A211" s="191"/>
      <c r="B211" s="191"/>
      <c r="C211" s="191"/>
      <c r="D211" s="191"/>
      <c r="E211" s="191"/>
      <c r="F211" s="191"/>
      <c r="G211" s="191"/>
      <c r="H211" s="191"/>
      <c r="I211" s="191"/>
      <c r="J211" s="191"/>
      <c r="K211" s="315"/>
      <c r="L211" s="180"/>
      <c r="M211" s="180"/>
      <c r="N211" s="180"/>
    </row>
    <row r="212" spans="1:14" ht="12.75">
      <c r="A212" s="191"/>
      <c r="B212" s="191"/>
      <c r="C212" s="191"/>
      <c r="D212" s="191"/>
      <c r="E212" s="191"/>
      <c r="F212" s="191"/>
      <c r="G212" s="191"/>
      <c r="H212" s="191"/>
      <c r="I212" s="191"/>
      <c r="J212" s="191"/>
      <c r="K212" s="315"/>
      <c r="L212" s="180"/>
      <c r="M212" s="180"/>
      <c r="N212" s="180"/>
    </row>
    <row r="213" spans="1:14" ht="12.75">
      <c r="A213" s="191"/>
      <c r="B213" s="191"/>
      <c r="C213" s="191"/>
      <c r="D213" s="191"/>
      <c r="E213" s="191"/>
      <c r="F213" s="191"/>
      <c r="G213" s="191"/>
      <c r="H213" s="191"/>
      <c r="I213" s="191"/>
      <c r="J213" s="191"/>
      <c r="K213" s="315"/>
      <c r="L213" s="180"/>
      <c r="M213" s="180"/>
      <c r="N213" s="180"/>
    </row>
    <row r="214" spans="1:14" ht="12.75">
      <c r="A214" s="191"/>
      <c r="B214" s="191"/>
      <c r="C214" s="191"/>
      <c r="D214" s="191"/>
      <c r="E214" s="191"/>
      <c r="F214" s="191"/>
      <c r="G214" s="191"/>
      <c r="H214" s="191"/>
      <c r="I214" s="191"/>
      <c r="J214" s="191"/>
      <c r="K214" s="315"/>
      <c r="L214" s="180"/>
      <c r="M214" s="180"/>
      <c r="N214" s="180"/>
    </row>
    <row r="215" spans="1:14" ht="12.75">
      <c r="A215" s="191"/>
      <c r="B215" s="191"/>
      <c r="C215" s="191"/>
      <c r="D215" s="191"/>
      <c r="E215" s="191"/>
      <c r="F215" s="191"/>
      <c r="G215" s="191"/>
      <c r="H215" s="191"/>
      <c r="I215" s="191"/>
      <c r="J215" s="191"/>
      <c r="K215" s="315"/>
      <c r="L215" s="180"/>
      <c r="M215" s="180"/>
      <c r="N215" s="180"/>
    </row>
    <row r="216" spans="1:14" ht="12.75">
      <c r="A216" s="191"/>
      <c r="B216" s="191"/>
      <c r="C216" s="191"/>
      <c r="D216" s="191"/>
      <c r="E216" s="191"/>
      <c r="F216" s="191"/>
      <c r="G216" s="191"/>
      <c r="H216" s="191"/>
      <c r="I216" s="191"/>
      <c r="J216" s="191"/>
      <c r="K216" s="315"/>
      <c r="L216" s="180"/>
      <c r="M216" s="180"/>
      <c r="N216" s="180"/>
    </row>
    <row r="217" spans="1:14" ht="12.75">
      <c r="A217" s="191"/>
      <c r="B217" s="191"/>
      <c r="C217" s="191"/>
      <c r="D217" s="191"/>
      <c r="E217" s="191"/>
      <c r="F217" s="191"/>
      <c r="G217" s="191"/>
      <c r="H217" s="191"/>
      <c r="I217" s="191"/>
      <c r="J217" s="191"/>
      <c r="K217" s="315"/>
      <c r="L217" s="180"/>
      <c r="M217" s="180"/>
      <c r="N217" s="180"/>
    </row>
    <row r="218" spans="1:14" ht="12.75">
      <c r="A218" s="191"/>
      <c r="B218" s="191"/>
      <c r="C218" s="191"/>
      <c r="D218" s="191"/>
      <c r="E218" s="191"/>
      <c r="F218" s="191"/>
      <c r="G218" s="191"/>
      <c r="H218" s="191"/>
      <c r="I218" s="191"/>
      <c r="J218" s="191"/>
      <c r="K218" s="315"/>
      <c r="L218" s="180"/>
      <c r="M218" s="180"/>
      <c r="N218" s="180"/>
    </row>
    <row r="219" spans="1:14" ht="12.75">
      <c r="A219" s="191"/>
      <c r="B219" s="191"/>
      <c r="C219" s="191"/>
      <c r="D219" s="191"/>
      <c r="E219" s="191"/>
      <c r="F219" s="191"/>
      <c r="G219" s="191"/>
      <c r="H219" s="191"/>
      <c r="I219" s="191"/>
      <c r="J219" s="191"/>
      <c r="K219" s="315"/>
      <c r="L219" s="180"/>
      <c r="M219" s="180"/>
      <c r="N219" s="180"/>
    </row>
    <row r="220" spans="1:14" ht="12.75">
      <c r="A220" s="191"/>
      <c r="B220" s="191"/>
      <c r="C220" s="191"/>
      <c r="D220" s="191"/>
      <c r="E220" s="191"/>
      <c r="F220" s="191"/>
      <c r="G220" s="191"/>
      <c r="H220" s="191"/>
      <c r="I220" s="191"/>
      <c r="J220" s="191"/>
      <c r="K220" s="315"/>
      <c r="L220" s="180"/>
      <c r="M220" s="180"/>
      <c r="N220" s="180"/>
    </row>
    <row r="221" spans="1:14" ht="12.75">
      <c r="A221" s="191"/>
      <c r="B221" s="191"/>
      <c r="C221" s="191"/>
      <c r="D221" s="191"/>
      <c r="E221" s="191"/>
      <c r="F221" s="191"/>
      <c r="G221" s="191"/>
      <c r="H221" s="191"/>
      <c r="I221" s="191"/>
      <c r="J221" s="191"/>
      <c r="K221" s="315"/>
      <c r="L221" s="180"/>
      <c r="M221" s="180"/>
      <c r="N221" s="180"/>
    </row>
    <row r="222" spans="1:14" ht="12.75">
      <c r="A222" s="191"/>
      <c r="B222" s="191"/>
      <c r="C222" s="191"/>
      <c r="D222" s="191"/>
      <c r="E222" s="191"/>
      <c r="F222" s="191"/>
      <c r="G222" s="191"/>
      <c r="H222" s="191"/>
      <c r="I222" s="191"/>
      <c r="J222" s="191"/>
      <c r="K222" s="315"/>
      <c r="L222" s="180"/>
      <c r="M222" s="180"/>
      <c r="N222" s="180"/>
    </row>
    <row r="223" spans="1:14" ht="12.75">
      <c r="A223" s="191"/>
      <c r="B223" s="191"/>
      <c r="C223" s="191"/>
      <c r="D223" s="191"/>
      <c r="E223" s="191"/>
      <c r="F223" s="191"/>
      <c r="G223" s="191"/>
      <c r="H223" s="191"/>
      <c r="I223" s="191"/>
      <c r="J223" s="191"/>
      <c r="K223" s="315"/>
      <c r="L223" s="180"/>
      <c r="M223" s="180"/>
      <c r="N223" s="180"/>
    </row>
    <row r="224" spans="1:14" ht="12.75">
      <c r="A224" s="191"/>
      <c r="B224" s="191"/>
      <c r="C224" s="191"/>
      <c r="D224" s="191"/>
      <c r="E224" s="191"/>
      <c r="F224" s="191"/>
      <c r="G224" s="191"/>
      <c r="H224" s="191"/>
      <c r="I224" s="191"/>
      <c r="J224" s="191"/>
      <c r="K224" s="315"/>
      <c r="L224" s="180"/>
      <c r="M224" s="180"/>
      <c r="N224" s="180"/>
    </row>
    <row r="225" spans="1:14" ht="12.75">
      <c r="A225" s="191"/>
      <c r="B225" s="191"/>
      <c r="C225" s="191"/>
      <c r="D225" s="191"/>
      <c r="E225" s="191"/>
      <c r="F225" s="191"/>
      <c r="G225" s="191"/>
      <c r="H225" s="191"/>
      <c r="I225" s="191"/>
      <c r="J225" s="191"/>
      <c r="K225" s="315"/>
      <c r="L225" s="180"/>
      <c r="M225" s="180"/>
      <c r="N225" s="180"/>
    </row>
    <row r="226" spans="1:14" ht="12.75">
      <c r="A226" s="191"/>
      <c r="B226" s="191"/>
      <c r="C226" s="191"/>
      <c r="D226" s="191"/>
      <c r="E226" s="191"/>
      <c r="F226" s="191"/>
      <c r="G226" s="191"/>
      <c r="H226" s="191"/>
      <c r="I226" s="191"/>
      <c r="J226" s="191"/>
      <c r="K226" s="315"/>
      <c r="L226" s="180"/>
      <c r="M226" s="180"/>
      <c r="N226" s="180"/>
    </row>
    <row r="227" spans="1:14" ht="12.75">
      <c r="A227" s="191"/>
      <c r="B227" s="191"/>
      <c r="C227" s="191"/>
      <c r="D227" s="191"/>
      <c r="E227" s="191"/>
      <c r="F227" s="191"/>
      <c r="G227" s="191"/>
      <c r="H227" s="191"/>
      <c r="I227" s="191"/>
      <c r="J227" s="191"/>
      <c r="K227" s="315"/>
      <c r="L227" s="180"/>
      <c r="M227" s="180"/>
      <c r="N227" s="180"/>
    </row>
    <row r="228" spans="1:14" ht="12.75">
      <c r="A228" s="191"/>
      <c r="B228" s="191"/>
      <c r="C228" s="191"/>
      <c r="D228" s="191"/>
      <c r="E228" s="191"/>
      <c r="F228" s="191"/>
      <c r="G228" s="191"/>
      <c r="H228" s="191"/>
      <c r="I228" s="191"/>
      <c r="J228" s="191"/>
      <c r="K228" s="315"/>
      <c r="L228" s="180"/>
      <c r="M228" s="180"/>
      <c r="N228" s="180"/>
    </row>
    <row r="229" spans="1:14" ht="12.75">
      <c r="A229" s="191"/>
      <c r="B229" s="191"/>
      <c r="C229" s="191"/>
      <c r="D229" s="191"/>
      <c r="E229" s="191"/>
      <c r="F229" s="191"/>
      <c r="G229" s="191"/>
      <c r="H229" s="191"/>
      <c r="I229" s="191"/>
      <c r="J229" s="191"/>
      <c r="K229" s="315"/>
      <c r="L229" s="180"/>
      <c r="M229" s="180"/>
      <c r="N229" s="180"/>
    </row>
    <row r="230" spans="1:14" ht="12.75">
      <c r="A230" s="191"/>
      <c r="B230" s="191"/>
      <c r="C230" s="191"/>
      <c r="D230" s="191"/>
      <c r="E230" s="191"/>
      <c r="F230" s="191"/>
      <c r="G230" s="191"/>
      <c r="H230" s="191"/>
      <c r="I230" s="191"/>
      <c r="J230" s="191"/>
      <c r="K230" s="315"/>
      <c r="L230" s="180"/>
      <c r="M230" s="180"/>
      <c r="N230" s="180"/>
    </row>
    <row r="231" spans="1:14" ht="12.75">
      <c r="A231" s="191"/>
      <c r="B231" s="191"/>
      <c r="C231" s="191"/>
      <c r="D231" s="191"/>
      <c r="E231" s="191"/>
      <c r="F231" s="191"/>
      <c r="G231" s="191"/>
      <c r="H231" s="191"/>
      <c r="I231" s="191"/>
      <c r="J231" s="191"/>
      <c r="K231" s="315"/>
      <c r="L231" s="180"/>
      <c r="M231" s="180"/>
      <c r="N231" s="180"/>
    </row>
    <row r="232" spans="1:14" ht="12.75">
      <c r="A232" s="191"/>
      <c r="B232" s="191"/>
      <c r="C232" s="191"/>
      <c r="D232" s="191"/>
      <c r="E232" s="191"/>
      <c r="F232" s="191"/>
      <c r="G232" s="191"/>
      <c r="H232" s="191"/>
      <c r="I232" s="191"/>
      <c r="J232" s="191"/>
      <c r="K232" s="315"/>
      <c r="L232" s="180"/>
      <c r="M232" s="180"/>
      <c r="N232" s="180"/>
    </row>
    <row r="233" spans="1:14" ht="12.75">
      <c r="A233" s="191"/>
      <c r="B233" s="191"/>
      <c r="C233" s="191"/>
      <c r="D233" s="191"/>
      <c r="E233" s="191"/>
      <c r="F233" s="191"/>
      <c r="G233" s="191"/>
      <c r="H233" s="191"/>
      <c r="I233" s="191"/>
      <c r="J233" s="191"/>
      <c r="K233" s="315"/>
      <c r="L233" s="180"/>
      <c r="M233" s="180"/>
      <c r="N233" s="180"/>
    </row>
    <row r="234" spans="1:14" ht="12.75">
      <c r="A234" s="191"/>
      <c r="B234" s="191"/>
      <c r="C234" s="191"/>
      <c r="D234" s="191"/>
      <c r="E234" s="191"/>
      <c r="F234" s="191"/>
      <c r="G234" s="191"/>
      <c r="H234" s="191"/>
      <c r="I234" s="191"/>
      <c r="J234" s="191"/>
      <c r="K234" s="315"/>
      <c r="L234" s="180"/>
      <c r="M234" s="180"/>
      <c r="N234" s="180"/>
    </row>
    <row r="235" spans="1:14" ht="12.75">
      <c r="A235" s="191"/>
      <c r="B235" s="191"/>
      <c r="C235" s="191"/>
      <c r="D235" s="191"/>
      <c r="E235" s="191"/>
      <c r="F235" s="191"/>
      <c r="G235" s="191"/>
      <c r="H235" s="191"/>
      <c r="I235" s="191"/>
      <c r="J235" s="191"/>
      <c r="K235" s="315"/>
      <c r="L235" s="180"/>
      <c r="M235" s="180"/>
      <c r="N235" s="180"/>
    </row>
    <row r="236" spans="1:14" ht="12.75">
      <c r="A236" s="191"/>
      <c r="B236" s="191"/>
      <c r="C236" s="191"/>
      <c r="D236" s="191"/>
      <c r="E236" s="191"/>
      <c r="F236" s="191"/>
      <c r="G236" s="191"/>
      <c r="H236" s="191"/>
      <c r="I236" s="191"/>
      <c r="J236" s="191"/>
      <c r="K236" s="315"/>
      <c r="L236" s="180"/>
      <c r="M236" s="180"/>
      <c r="N236" s="180"/>
    </row>
    <row r="237" spans="1:14" ht="12.75">
      <c r="A237" s="191"/>
      <c r="B237" s="191"/>
      <c r="C237" s="191"/>
      <c r="D237" s="191"/>
      <c r="E237" s="191"/>
      <c r="F237" s="191"/>
      <c r="G237" s="191"/>
      <c r="H237" s="191"/>
      <c r="I237" s="191"/>
      <c r="J237" s="191"/>
      <c r="K237" s="315"/>
      <c r="L237" s="180"/>
      <c r="M237" s="180"/>
      <c r="N237" s="180"/>
    </row>
    <row r="238" spans="1:14" ht="12.75">
      <c r="A238" s="191"/>
      <c r="B238" s="191"/>
      <c r="C238" s="191"/>
      <c r="D238" s="191"/>
      <c r="E238" s="191"/>
      <c r="F238" s="191"/>
      <c r="G238" s="191"/>
      <c r="H238" s="191"/>
      <c r="I238" s="191"/>
      <c r="J238" s="191"/>
      <c r="K238" s="315"/>
      <c r="L238" s="180"/>
      <c r="M238" s="180"/>
      <c r="N238" s="180"/>
    </row>
    <row r="239" spans="1:14" ht="12.75">
      <c r="A239" s="191"/>
      <c r="B239" s="191"/>
      <c r="C239" s="191"/>
      <c r="D239" s="191"/>
      <c r="E239" s="191"/>
      <c r="F239" s="191"/>
      <c r="G239" s="191"/>
      <c r="H239" s="191"/>
      <c r="I239" s="191"/>
      <c r="J239" s="191"/>
      <c r="K239" s="315"/>
      <c r="L239" s="180"/>
      <c r="M239" s="180"/>
      <c r="N239" s="180"/>
    </row>
    <row r="240" spans="1:14" ht="12.75">
      <c r="A240" s="191"/>
      <c r="B240" s="191"/>
      <c r="C240" s="191"/>
      <c r="D240" s="191"/>
      <c r="E240" s="191"/>
      <c r="F240" s="191"/>
      <c r="G240" s="191"/>
      <c r="H240" s="191"/>
      <c r="I240" s="191"/>
      <c r="J240" s="191"/>
      <c r="K240" s="315"/>
      <c r="L240" s="180"/>
      <c r="M240" s="180"/>
      <c r="N240" s="180"/>
    </row>
    <row r="241" spans="1:14" ht="12.75">
      <c r="A241" s="191"/>
      <c r="B241" s="191"/>
      <c r="C241" s="191"/>
      <c r="D241" s="191"/>
      <c r="E241" s="191"/>
      <c r="F241" s="191"/>
      <c r="G241" s="191"/>
      <c r="H241" s="191"/>
      <c r="I241" s="191"/>
      <c r="J241" s="191"/>
      <c r="K241" s="315"/>
      <c r="L241" s="180"/>
      <c r="M241" s="180"/>
      <c r="N241" s="180"/>
    </row>
    <row r="242" spans="1:14" ht="12.75">
      <c r="A242" s="191"/>
      <c r="B242" s="191"/>
      <c r="C242" s="191"/>
      <c r="D242" s="191"/>
      <c r="E242" s="191"/>
      <c r="F242" s="191"/>
      <c r="G242" s="191"/>
      <c r="H242" s="191"/>
      <c r="I242" s="191"/>
      <c r="J242" s="191"/>
      <c r="K242" s="315"/>
      <c r="L242" s="180"/>
      <c r="M242" s="180"/>
      <c r="N242" s="180"/>
    </row>
    <row r="243" spans="1:14" ht="12.75">
      <c r="A243" s="191"/>
      <c r="B243" s="191"/>
      <c r="C243" s="191"/>
      <c r="D243" s="191"/>
      <c r="E243" s="191"/>
      <c r="F243" s="191"/>
      <c r="G243" s="191"/>
      <c r="H243" s="191"/>
      <c r="I243" s="191"/>
      <c r="J243" s="191"/>
      <c r="K243" s="315"/>
      <c r="L243" s="180"/>
      <c r="M243" s="180"/>
      <c r="N243" s="180"/>
    </row>
    <row r="244" spans="1:14" ht="12.75">
      <c r="A244" s="191"/>
      <c r="B244" s="191"/>
      <c r="C244" s="191"/>
      <c r="D244" s="191"/>
      <c r="E244" s="191"/>
      <c r="F244" s="191"/>
      <c r="G244" s="191"/>
      <c r="H244" s="191"/>
      <c r="I244" s="191"/>
      <c r="J244" s="191"/>
      <c r="K244" s="315"/>
      <c r="L244" s="180"/>
      <c r="M244" s="180"/>
      <c r="N244" s="180"/>
    </row>
    <row r="245" spans="1:14" ht="12.75">
      <c r="A245" s="191"/>
      <c r="B245" s="191"/>
      <c r="C245" s="191"/>
      <c r="D245" s="191"/>
      <c r="E245" s="191"/>
      <c r="F245" s="191"/>
      <c r="G245" s="191"/>
      <c r="H245" s="191"/>
      <c r="I245" s="191"/>
      <c r="J245" s="191"/>
      <c r="K245" s="315"/>
      <c r="L245" s="180"/>
      <c r="M245" s="180"/>
      <c r="N245" s="180"/>
    </row>
    <row r="246" spans="1:14" ht="12.75">
      <c r="A246" s="191"/>
      <c r="B246" s="191"/>
      <c r="C246" s="191"/>
      <c r="D246" s="191"/>
      <c r="E246" s="191"/>
      <c r="F246" s="191"/>
      <c r="G246" s="191"/>
      <c r="H246" s="191"/>
      <c r="I246" s="191"/>
      <c r="J246" s="191"/>
      <c r="K246" s="315"/>
      <c r="L246" s="180"/>
      <c r="M246" s="180"/>
      <c r="N246" s="180"/>
    </row>
    <row r="247" spans="1:14" ht="12.75">
      <c r="A247" s="191"/>
      <c r="B247" s="191"/>
      <c r="C247" s="191"/>
      <c r="D247" s="191"/>
      <c r="E247" s="191"/>
      <c r="F247" s="191"/>
      <c r="G247" s="191"/>
      <c r="H247" s="191"/>
      <c r="I247" s="191"/>
      <c r="J247" s="191"/>
      <c r="K247" s="315"/>
      <c r="L247" s="180"/>
      <c r="M247" s="180"/>
      <c r="N247" s="180"/>
    </row>
    <row r="248" spans="1:14" ht="12.75">
      <c r="A248" s="191"/>
      <c r="B248" s="191"/>
      <c r="C248" s="191"/>
      <c r="D248" s="191"/>
      <c r="E248" s="191"/>
      <c r="F248" s="191"/>
      <c r="G248" s="191"/>
      <c r="H248" s="191"/>
      <c r="I248" s="191"/>
      <c r="J248" s="191"/>
      <c r="K248" s="315"/>
      <c r="L248" s="180"/>
      <c r="M248" s="180"/>
      <c r="N248" s="180"/>
    </row>
    <row r="249" spans="1:14" ht="12.75">
      <c r="A249" s="191"/>
      <c r="B249" s="191"/>
      <c r="C249" s="191"/>
      <c r="D249" s="191"/>
      <c r="E249" s="191"/>
      <c r="F249" s="191"/>
      <c r="G249" s="191"/>
      <c r="H249" s="191"/>
      <c r="I249" s="191"/>
      <c r="J249" s="191"/>
      <c r="K249" s="315"/>
      <c r="L249" s="180"/>
      <c r="M249" s="180"/>
      <c r="N249" s="180"/>
    </row>
    <row r="250" spans="1:14" ht="12.75">
      <c r="A250" s="191"/>
      <c r="B250" s="191"/>
      <c r="C250" s="191"/>
      <c r="D250" s="191"/>
      <c r="E250" s="191"/>
      <c r="F250" s="191"/>
      <c r="G250" s="191"/>
      <c r="H250" s="191"/>
      <c r="I250" s="191"/>
      <c r="J250" s="191"/>
      <c r="K250" s="315"/>
      <c r="L250" s="180"/>
      <c r="M250" s="180"/>
      <c r="N250" s="180"/>
    </row>
    <row r="251" spans="1:14" ht="12.75">
      <c r="A251" s="191"/>
      <c r="B251" s="191"/>
      <c r="C251" s="191"/>
      <c r="D251" s="191"/>
      <c r="E251" s="191"/>
      <c r="F251" s="191"/>
      <c r="G251" s="191"/>
      <c r="H251" s="191"/>
      <c r="I251" s="191"/>
      <c r="J251" s="191"/>
      <c r="K251" s="315"/>
      <c r="L251" s="180"/>
      <c r="M251" s="180"/>
      <c r="N251" s="180"/>
    </row>
    <row r="252" spans="1:14" ht="12.75">
      <c r="A252" s="191"/>
      <c r="B252" s="191"/>
      <c r="C252" s="191"/>
      <c r="D252" s="191"/>
      <c r="E252" s="191"/>
      <c r="F252" s="191"/>
      <c r="G252" s="191"/>
      <c r="H252" s="191"/>
      <c r="I252" s="191"/>
      <c r="J252" s="191"/>
      <c r="K252" s="315"/>
      <c r="L252" s="180"/>
      <c r="M252" s="180"/>
      <c r="N252" s="180"/>
    </row>
    <row r="253" spans="1:14" ht="12.75">
      <c r="A253" s="191"/>
      <c r="B253" s="191"/>
      <c r="C253" s="191"/>
      <c r="D253" s="191"/>
      <c r="E253" s="191"/>
      <c r="F253" s="191"/>
      <c r="G253" s="191"/>
      <c r="H253" s="191"/>
      <c r="I253" s="191"/>
      <c r="J253" s="191"/>
      <c r="K253" s="315"/>
      <c r="L253" s="180"/>
      <c r="M253" s="180"/>
      <c r="N253" s="180"/>
    </row>
    <row r="254" spans="1:14" ht="12.75">
      <c r="A254" s="191"/>
      <c r="B254" s="191"/>
      <c r="C254" s="191"/>
      <c r="D254" s="191"/>
      <c r="E254" s="191"/>
      <c r="F254" s="191"/>
      <c r="G254" s="191"/>
      <c r="H254" s="191"/>
      <c r="I254" s="191"/>
      <c r="J254" s="191"/>
      <c r="K254" s="315"/>
      <c r="L254" s="180"/>
      <c r="M254" s="180"/>
      <c r="N254" s="180"/>
    </row>
    <row r="255" spans="1:14" ht="12.75">
      <c r="A255" s="191"/>
      <c r="B255" s="191"/>
      <c r="C255" s="191"/>
      <c r="D255" s="191"/>
      <c r="E255" s="191"/>
      <c r="F255" s="191"/>
      <c r="G255" s="191"/>
      <c r="H255" s="191"/>
      <c r="I255" s="191"/>
      <c r="J255" s="191"/>
      <c r="K255" s="315"/>
      <c r="L255" s="180"/>
      <c r="M255" s="180"/>
      <c r="N255" s="180"/>
    </row>
    <row r="256" spans="1:14" ht="12.75">
      <c r="A256" s="191"/>
      <c r="B256" s="191"/>
      <c r="C256" s="191"/>
      <c r="D256" s="191"/>
      <c r="E256" s="191"/>
      <c r="F256" s="191"/>
      <c r="G256" s="191"/>
      <c r="H256" s="191"/>
      <c r="I256" s="191"/>
      <c r="J256" s="191"/>
      <c r="K256" s="315"/>
      <c r="L256" s="180"/>
      <c r="M256" s="180"/>
      <c r="N256" s="180"/>
    </row>
    <row r="257" spans="1:14" ht="12.75">
      <c r="A257" s="191"/>
      <c r="B257" s="191"/>
      <c r="C257" s="191"/>
      <c r="D257" s="191"/>
      <c r="E257" s="191"/>
      <c r="F257" s="191"/>
      <c r="G257" s="191"/>
      <c r="H257" s="191"/>
      <c r="I257" s="191"/>
      <c r="J257" s="191"/>
      <c r="K257" s="315"/>
      <c r="L257" s="180"/>
      <c r="M257" s="180"/>
      <c r="N257" s="180"/>
    </row>
    <row r="258" spans="1:14" ht="12.75">
      <c r="A258" s="191"/>
      <c r="B258" s="191"/>
      <c r="C258" s="191"/>
      <c r="D258" s="191"/>
      <c r="E258" s="191"/>
      <c r="F258" s="191"/>
      <c r="G258" s="191"/>
      <c r="H258" s="191"/>
      <c r="I258" s="191"/>
      <c r="J258" s="191"/>
      <c r="K258" s="315"/>
      <c r="L258" s="180"/>
      <c r="M258" s="180"/>
      <c r="N258" s="180"/>
    </row>
    <row r="259" spans="1:14" ht="12.75">
      <c r="A259" s="180"/>
      <c r="B259" s="180"/>
      <c r="C259" s="180"/>
      <c r="D259" s="180"/>
      <c r="E259" s="180"/>
      <c r="F259" s="180"/>
      <c r="G259" s="180"/>
      <c r="H259" s="180"/>
      <c r="I259" s="191"/>
      <c r="J259" s="180"/>
      <c r="K259" s="386"/>
      <c r="L259" s="180"/>
      <c r="M259" s="180"/>
      <c r="N259" s="180"/>
    </row>
    <row r="260" spans="1:14" ht="12.75">
      <c r="A260" s="180"/>
      <c r="B260" s="180"/>
      <c r="C260" s="180"/>
      <c r="D260" s="180"/>
      <c r="E260" s="180"/>
      <c r="F260" s="180"/>
      <c r="G260" s="180"/>
      <c r="H260" s="180"/>
      <c r="I260" s="191"/>
      <c r="J260" s="180"/>
      <c r="K260" s="386"/>
      <c r="L260" s="180"/>
      <c r="M260" s="180"/>
      <c r="N260" s="180"/>
    </row>
    <row r="261" spans="1:14" ht="12.75">
      <c r="A261" s="180"/>
      <c r="B261" s="180"/>
      <c r="C261" s="180"/>
      <c r="D261" s="180"/>
      <c r="E261" s="180"/>
      <c r="F261" s="180"/>
      <c r="G261" s="180"/>
      <c r="H261" s="180"/>
      <c r="I261" s="191"/>
      <c r="J261" s="180"/>
      <c r="K261" s="386"/>
      <c r="L261" s="180"/>
      <c r="M261" s="180"/>
      <c r="N261" s="180"/>
    </row>
    <row r="262" spans="1:14" ht="12.75">
      <c r="A262" s="180"/>
      <c r="B262" s="180"/>
      <c r="C262" s="180"/>
      <c r="D262" s="180"/>
      <c r="E262" s="180"/>
      <c r="F262" s="180"/>
      <c r="G262" s="180"/>
      <c r="H262" s="180"/>
      <c r="I262" s="191"/>
      <c r="J262" s="180"/>
      <c r="K262" s="386"/>
      <c r="L262" s="180"/>
      <c r="M262" s="180"/>
      <c r="N262" s="180"/>
    </row>
    <row r="263" spans="1:14" ht="12.75">
      <c r="A263" s="180"/>
      <c r="B263" s="180"/>
      <c r="C263" s="180"/>
      <c r="D263" s="180"/>
      <c r="E263" s="180"/>
      <c r="F263" s="180"/>
      <c r="G263" s="180"/>
      <c r="H263" s="180"/>
      <c r="I263" s="191"/>
      <c r="J263" s="180"/>
      <c r="K263" s="386"/>
      <c r="L263" s="180"/>
      <c r="M263" s="180"/>
      <c r="N263" s="180"/>
    </row>
    <row r="264" spans="1:14" ht="12.75">
      <c r="A264" s="180"/>
      <c r="B264" s="180"/>
      <c r="C264" s="180"/>
      <c r="D264" s="180"/>
      <c r="E264" s="180"/>
      <c r="F264" s="180"/>
      <c r="G264" s="180"/>
      <c r="H264" s="180"/>
      <c r="I264" s="191"/>
      <c r="J264" s="180"/>
      <c r="K264" s="386"/>
      <c r="L264" s="180"/>
      <c r="M264" s="180"/>
      <c r="N264" s="180"/>
    </row>
    <row r="265" spans="1:14" ht="12.75">
      <c r="A265" s="180"/>
      <c r="B265" s="180"/>
      <c r="C265" s="180"/>
      <c r="D265" s="180"/>
      <c r="E265" s="180"/>
      <c r="F265" s="180"/>
      <c r="G265" s="180"/>
      <c r="H265" s="180"/>
      <c r="I265" s="191"/>
      <c r="J265" s="180"/>
      <c r="K265" s="386"/>
      <c r="L265" s="180"/>
      <c r="M265" s="180"/>
      <c r="N265" s="180"/>
    </row>
    <row r="266" spans="1:14" ht="12.75">
      <c r="A266" s="180"/>
      <c r="B266" s="180"/>
      <c r="C266" s="180"/>
      <c r="D266" s="180"/>
      <c r="E266" s="180"/>
      <c r="F266" s="180"/>
      <c r="G266" s="180"/>
      <c r="H266" s="180"/>
      <c r="I266" s="191"/>
      <c r="J266" s="180"/>
      <c r="K266" s="386"/>
      <c r="L266" s="180"/>
      <c r="M266" s="180"/>
      <c r="N266" s="180"/>
    </row>
    <row r="267" spans="1:14" ht="12.75">
      <c r="A267" s="180"/>
      <c r="B267" s="180"/>
      <c r="C267" s="180"/>
      <c r="D267" s="180"/>
      <c r="E267" s="180"/>
      <c r="F267" s="180"/>
      <c r="G267" s="180"/>
      <c r="H267" s="180"/>
      <c r="I267" s="191"/>
      <c r="J267" s="180"/>
      <c r="K267" s="386"/>
      <c r="L267" s="180"/>
      <c r="M267" s="180"/>
      <c r="N267" s="180"/>
    </row>
    <row r="268" spans="1:14" ht="12.75">
      <c r="A268" s="180"/>
      <c r="B268" s="180"/>
      <c r="C268" s="180"/>
      <c r="D268" s="180"/>
      <c r="E268" s="180"/>
      <c r="F268" s="180"/>
      <c r="G268" s="180"/>
      <c r="H268" s="180"/>
      <c r="I268" s="191"/>
      <c r="J268" s="180"/>
      <c r="K268" s="386"/>
      <c r="L268" s="180"/>
      <c r="M268" s="180"/>
      <c r="N268" s="180"/>
    </row>
    <row r="269" spans="1:14" ht="12.75">
      <c r="A269" s="180"/>
      <c r="B269" s="180"/>
      <c r="C269" s="180"/>
      <c r="D269" s="180"/>
      <c r="E269" s="180"/>
      <c r="F269" s="180"/>
      <c r="G269" s="180"/>
      <c r="H269" s="180"/>
      <c r="I269" s="191"/>
      <c r="J269" s="180"/>
      <c r="K269" s="386"/>
      <c r="L269" s="180"/>
      <c r="M269" s="180"/>
      <c r="N269" s="180"/>
    </row>
    <row r="270" spans="1:14" ht="12.75">
      <c r="A270" s="180"/>
      <c r="B270" s="180"/>
      <c r="C270" s="180"/>
      <c r="D270" s="180"/>
      <c r="E270" s="180"/>
      <c r="F270" s="180"/>
      <c r="G270" s="180"/>
      <c r="H270" s="180"/>
      <c r="I270" s="191"/>
      <c r="J270" s="180"/>
      <c r="K270" s="386"/>
      <c r="L270" s="180"/>
      <c r="M270" s="180"/>
      <c r="N270" s="180"/>
    </row>
    <row r="271" spans="1:14" ht="12.75">
      <c r="A271" s="180"/>
      <c r="B271" s="180"/>
      <c r="C271" s="180"/>
      <c r="D271" s="180"/>
      <c r="E271" s="180"/>
      <c r="F271" s="180"/>
      <c r="G271" s="180"/>
      <c r="H271" s="180"/>
      <c r="I271" s="191"/>
      <c r="J271" s="180"/>
      <c r="K271" s="386"/>
      <c r="L271" s="180"/>
      <c r="M271" s="180"/>
      <c r="N271" s="180"/>
    </row>
    <row r="272" spans="1:14" ht="12.75">
      <c r="A272" s="180"/>
      <c r="B272" s="180"/>
      <c r="C272" s="180"/>
      <c r="D272" s="180"/>
      <c r="E272" s="180"/>
      <c r="F272" s="180"/>
      <c r="G272" s="180"/>
      <c r="H272" s="180"/>
      <c r="I272" s="191"/>
      <c r="J272" s="180"/>
      <c r="K272" s="386"/>
      <c r="L272" s="180"/>
      <c r="M272" s="180"/>
      <c r="N272" s="180"/>
    </row>
    <row r="273" spans="1:14" ht="12.75">
      <c r="A273" s="180"/>
      <c r="B273" s="180"/>
      <c r="C273" s="180"/>
      <c r="D273" s="180"/>
      <c r="E273" s="180"/>
      <c r="F273" s="180"/>
      <c r="G273" s="180"/>
      <c r="H273" s="180"/>
      <c r="I273" s="191"/>
      <c r="J273" s="180"/>
      <c r="K273" s="386"/>
      <c r="L273" s="180"/>
      <c r="M273" s="180"/>
      <c r="N273" s="180"/>
    </row>
    <row r="274" spans="1:14" ht="12.75">
      <c r="A274" s="180"/>
      <c r="B274" s="180"/>
      <c r="C274" s="180"/>
      <c r="D274" s="180"/>
      <c r="E274" s="180"/>
      <c r="F274" s="180"/>
      <c r="G274" s="180"/>
      <c r="H274" s="180"/>
      <c r="I274" s="191"/>
      <c r="J274" s="180"/>
      <c r="K274" s="386"/>
      <c r="L274" s="180"/>
      <c r="M274" s="180"/>
      <c r="N274" s="180"/>
    </row>
    <row r="275" spans="1:14" ht="12.75">
      <c r="A275" s="180"/>
      <c r="B275" s="180"/>
      <c r="C275" s="180"/>
      <c r="D275" s="180"/>
      <c r="E275" s="180"/>
      <c r="F275" s="180"/>
      <c r="G275" s="180"/>
      <c r="H275" s="180"/>
      <c r="I275" s="191"/>
      <c r="J275" s="180"/>
      <c r="K275" s="386"/>
      <c r="L275" s="180"/>
      <c r="M275" s="180"/>
      <c r="N275" s="180"/>
    </row>
    <row r="276" spans="1:14" ht="12.75">
      <c r="A276" s="180"/>
      <c r="B276" s="180"/>
      <c r="C276" s="180"/>
      <c r="D276" s="180"/>
      <c r="E276" s="180"/>
      <c r="F276" s="180"/>
      <c r="G276" s="180"/>
      <c r="H276" s="180"/>
      <c r="I276" s="191"/>
      <c r="J276" s="180"/>
      <c r="K276" s="386"/>
      <c r="L276" s="180"/>
      <c r="M276" s="180"/>
      <c r="N276" s="180"/>
    </row>
    <row r="277" spans="1:14" ht="12.75">
      <c r="A277" s="180"/>
      <c r="B277" s="180"/>
      <c r="C277" s="180"/>
      <c r="D277" s="180"/>
      <c r="E277" s="180"/>
      <c r="F277" s="180"/>
      <c r="G277" s="180"/>
      <c r="H277" s="180"/>
      <c r="I277" s="191"/>
      <c r="J277" s="180"/>
      <c r="K277" s="386"/>
      <c r="L277" s="180"/>
      <c r="M277" s="180"/>
      <c r="N277" s="180"/>
    </row>
    <row r="278" spans="1:14" ht="12.75">
      <c r="A278" s="180"/>
      <c r="B278" s="180"/>
      <c r="C278" s="180"/>
      <c r="D278" s="180"/>
      <c r="E278" s="180"/>
      <c r="F278" s="180"/>
      <c r="G278" s="180"/>
      <c r="H278" s="180"/>
      <c r="I278" s="191"/>
      <c r="J278" s="180"/>
      <c r="K278" s="386"/>
      <c r="L278" s="180"/>
      <c r="M278" s="180"/>
      <c r="N278" s="180"/>
    </row>
    <row r="279" spans="1:14" ht="12.75">
      <c r="A279" s="180"/>
      <c r="B279" s="180"/>
      <c r="C279" s="180"/>
      <c r="D279" s="180"/>
      <c r="E279" s="180"/>
      <c r="F279" s="180"/>
      <c r="G279" s="180"/>
      <c r="H279" s="180"/>
      <c r="I279" s="191"/>
      <c r="J279" s="180"/>
      <c r="K279" s="386"/>
      <c r="L279" s="180"/>
      <c r="M279" s="180"/>
      <c r="N279" s="180"/>
    </row>
    <row r="280" spans="1:14" ht="12.75">
      <c r="A280" s="180"/>
      <c r="B280" s="180"/>
      <c r="C280" s="180"/>
      <c r="D280" s="180"/>
      <c r="E280" s="180"/>
      <c r="F280" s="180"/>
      <c r="G280" s="180"/>
      <c r="H280" s="180"/>
      <c r="I280" s="191"/>
      <c r="J280" s="180"/>
      <c r="K280" s="386"/>
      <c r="L280" s="180"/>
      <c r="M280" s="180"/>
      <c r="N280" s="180"/>
    </row>
    <row r="281" spans="1:14" ht="12.75">
      <c r="A281" s="180"/>
      <c r="B281" s="180"/>
      <c r="C281" s="180"/>
      <c r="D281" s="180"/>
      <c r="E281" s="180"/>
      <c r="F281" s="180"/>
      <c r="G281" s="180"/>
      <c r="H281" s="180"/>
      <c r="I281" s="191"/>
      <c r="J281" s="180"/>
      <c r="K281" s="386"/>
      <c r="L281" s="180"/>
      <c r="M281" s="180"/>
      <c r="N281" s="180"/>
    </row>
    <row r="282" spans="1:14" ht="12.75">
      <c r="A282" s="180"/>
      <c r="B282" s="180"/>
      <c r="C282" s="180"/>
      <c r="D282" s="180"/>
      <c r="E282" s="180"/>
      <c r="F282" s="180"/>
      <c r="G282" s="180"/>
      <c r="H282" s="180"/>
      <c r="I282" s="191"/>
      <c r="J282" s="180"/>
      <c r="K282" s="386"/>
      <c r="L282" s="180"/>
      <c r="M282" s="180"/>
      <c r="N282" s="180"/>
    </row>
    <row r="283" spans="1:14" ht="12.75">
      <c r="A283" s="180"/>
      <c r="B283" s="180"/>
      <c r="C283" s="180"/>
      <c r="D283" s="180"/>
      <c r="E283" s="180"/>
      <c r="F283" s="180"/>
      <c r="G283" s="180"/>
      <c r="H283" s="180"/>
      <c r="I283" s="191"/>
      <c r="J283" s="180"/>
      <c r="K283" s="386"/>
      <c r="L283" s="180"/>
      <c r="M283" s="180"/>
      <c r="N283" s="180"/>
    </row>
    <row r="284" spans="1:14" ht="12.75">
      <c r="A284" s="180"/>
      <c r="B284" s="180"/>
      <c r="C284" s="180"/>
      <c r="D284" s="180"/>
      <c r="E284" s="180"/>
      <c r="F284" s="180"/>
      <c r="G284" s="180"/>
      <c r="H284" s="180"/>
      <c r="I284" s="191"/>
      <c r="J284" s="180"/>
      <c r="K284" s="386"/>
      <c r="L284" s="180"/>
      <c r="M284" s="180"/>
      <c r="N284" s="180"/>
    </row>
    <row r="285" spans="1:14" ht="12.75">
      <c r="A285" s="180"/>
      <c r="B285" s="180"/>
      <c r="C285" s="180"/>
      <c r="D285" s="180"/>
      <c r="E285" s="180"/>
      <c r="F285" s="180"/>
      <c r="G285" s="180"/>
      <c r="H285" s="180"/>
      <c r="I285" s="191"/>
      <c r="J285" s="180"/>
      <c r="K285" s="386"/>
      <c r="L285" s="180"/>
      <c r="M285" s="180"/>
      <c r="N285" s="180"/>
    </row>
    <row r="286" spans="1:14" ht="12.75">
      <c r="A286" s="180"/>
      <c r="B286" s="180"/>
      <c r="C286" s="180"/>
      <c r="D286" s="180"/>
      <c r="E286" s="180"/>
      <c r="F286" s="180"/>
      <c r="G286" s="180"/>
      <c r="H286" s="180"/>
      <c r="I286" s="191"/>
      <c r="J286" s="180"/>
      <c r="K286" s="386"/>
      <c r="L286" s="180"/>
      <c r="M286" s="180"/>
      <c r="N286" s="180"/>
    </row>
    <row r="287" spans="1:14" ht="12.75">
      <c r="A287" s="180"/>
      <c r="B287" s="180"/>
      <c r="C287" s="180"/>
      <c r="D287" s="180"/>
      <c r="E287" s="180"/>
      <c r="F287" s="180"/>
      <c r="G287" s="180"/>
      <c r="H287" s="180"/>
      <c r="I287" s="191"/>
      <c r="J287" s="180"/>
      <c r="K287" s="386"/>
      <c r="L287" s="180"/>
      <c r="M287" s="180"/>
      <c r="N287" s="180"/>
    </row>
    <row r="288" spans="1:14" ht="12.75">
      <c r="A288" s="180"/>
      <c r="B288" s="180"/>
      <c r="C288" s="180"/>
      <c r="D288" s="180"/>
      <c r="E288" s="180"/>
      <c r="F288" s="180"/>
      <c r="G288" s="180"/>
      <c r="H288" s="180"/>
      <c r="I288" s="191"/>
      <c r="J288" s="180"/>
      <c r="K288" s="386"/>
      <c r="L288" s="180"/>
      <c r="M288" s="180"/>
      <c r="N288" s="180"/>
    </row>
    <row r="289" spans="1:14" ht="12.75">
      <c r="A289" s="180"/>
      <c r="B289" s="180"/>
      <c r="C289" s="180"/>
      <c r="D289" s="180"/>
      <c r="E289" s="180"/>
      <c r="F289" s="180"/>
      <c r="G289" s="180"/>
      <c r="H289" s="180"/>
      <c r="I289" s="191"/>
      <c r="J289" s="180"/>
      <c r="K289" s="386"/>
      <c r="L289" s="180"/>
      <c r="M289" s="180"/>
      <c r="N289" s="180"/>
    </row>
    <row r="290" spans="1:14" ht="12.75">
      <c r="A290" s="180"/>
      <c r="B290" s="180"/>
      <c r="C290" s="180"/>
      <c r="D290" s="180"/>
      <c r="E290" s="180"/>
      <c r="F290" s="180"/>
      <c r="G290" s="180"/>
      <c r="H290" s="180"/>
      <c r="I290" s="191"/>
      <c r="J290" s="180"/>
      <c r="K290" s="386"/>
      <c r="L290" s="180"/>
      <c r="M290" s="180"/>
      <c r="N290" s="180"/>
    </row>
    <row r="291" spans="1:14" ht="12.75">
      <c r="A291" s="180"/>
      <c r="B291" s="180"/>
      <c r="C291" s="180"/>
      <c r="D291" s="180"/>
      <c r="E291" s="180"/>
      <c r="F291" s="180"/>
      <c r="G291" s="180"/>
      <c r="H291" s="180"/>
      <c r="I291" s="191"/>
      <c r="J291" s="180"/>
      <c r="K291" s="386"/>
      <c r="L291" s="180"/>
      <c r="M291" s="180"/>
      <c r="N291" s="180"/>
    </row>
    <row r="292" spans="1:14" ht="12.75">
      <c r="A292" s="180"/>
      <c r="B292" s="180"/>
      <c r="C292" s="180"/>
      <c r="D292" s="180"/>
      <c r="E292" s="180"/>
      <c r="F292" s="180"/>
      <c r="G292" s="180"/>
      <c r="H292" s="180"/>
      <c r="I292" s="191"/>
      <c r="J292" s="180"/>
      <c r="K292" s="386"/>
      <c r="L292" s="180"/>
      <c r="M292" s="180"/>
      <c r="N292" s="180"/>
    </row>
    <row r="293" spans="1:14" ht="12.75">
      <c r="A293" s="180"/>
      <c r="B293" s="180"/>
      <c r="C293" s="180"/>
      <c r="D293" s="180"/>
      <c r="E293" s="180"/>
      <c r="F293" s="180"/>
      <c r="G293" s="180"/>
      <c r="H293" s="180"/>
      <c r="I293" s="191"/>
      <c r="J293" s="180"/>
      <c r="K293" s="386"/>
      <c r="L293" s="180"/>
      <c r="M293" s="180"/>
      <c r="N293" s="180"/>
    </row>
    <row r="294" spans="1:14" ht="12.75">
      <c r="A294" s="180"/>
      <c r="B294" s="180"/>
      <c r="C294" s="180"/>
      <c r="D294" s="180"/>
      <c r="E294" s="180"/>
      <c r="F294" s="180"/>
      <c r="G294" s="180"/>
      <c r="H294" s="180"/>
      <c r="I294" s="191"/>
      <c r="J294" s="180"/>
      <c r="K294" s="386"/>
      <c r="L294" s="180"/>
      <c r="M294" s="180"/>
      <c r="N294" s="180"/>
    </row>
    <row r="295" spans="1:14" ht="12.75">
      <c r="A295" s="180"/>
      <c r="B295" s="180"/>
      <c r="C295" s="180"/>
      <c r="D295" s="180"/>
      <c r="E295" s="180"/>
      <c r="F295" s="180"/>
      <c r="G295" s="180"/>
      <c r="H295" s="180"/>
      <c r="I295" s="191"/>
      <c r="J295" s="180"/>
      <c r="K295" s="386"/>
      <c r="L295" s="180"/>
      <c r="M295" s="180"/>
      <c r="N295" s="180"/>
    </row>
    <row r="296" spans="1:14" ht="12.75">
      <c r="A296" s="180"/>
      <c r="B296" s="180"/>
      <c r="C296" s="180"/>
      <c r="D296" s="180"/>
      <c r="E296" s="180"/>
      <c r="F296" s="180"/>
      <c r="G296" s="180"/>
      <c r="H296" s="180"/>
      <c r="I296" s="191"/>
      <c r="J296" s="180"/>
      <c r="K296" s="386"/>
      <c r="L296" s="180"/>
      <c r="M296" s="180"/>
      <c r="N296" s="180"/>
    </row>
    <row r="297" spans="1:14" ht="12.75">
      <c r="A297" s="180"/>
      <c r="B297" s="180"/>
      <c r="C297" s="180"/>
      <c r="D297" s="180"/>
      <c r="E297" s="180"/>
      <c r="F297" s="180"/>
      <c r="G297" s="180"/>
      <c r="H297" s="180"/>
      <c r="I297" s="191"/>
      <c r="J297" s="180"/>
      <c r="K297" s="386"/>
      <c r="L297" s="180"/>
      <c r="M297" s="180"/>
      <c r="N297" s="180"/>
    </row>
    <row r="298" spans="1:14" ht="12.75">
      <c r="A298" s="180"/>
      <c r="B298" s="180"/>
      <c r="C298" s="180"/>
      <c r="D298" s="180"/>
      <c r="E298" s="180"/>
      <c r="F298" s="180"/>
      <c r="G298" s="180"/>
      <c r="H298" s="180"/>
      <c r="I298" s="191"/>
      <c r="J298" s="180"/>
      <c r="K298" s="386"/>
      <c r="L298" s="180"/>
      <c r="M298" s="180"/>
      <c r="N298" s="180"/>
    </row>
    <row r="299" spans="1:14" ht="12.75">
      <c r="A299" s="180"/>
      <c r="B299" s="180"/>
      <c r="C299" s="180"/>
      <c r="D299" s="180"/>
      <c r="E299" s="180"/>
      <c r="F299" s="180"/>
      <c r="G299" s="180"/>
      <c r="H299" s="180"/>
      <c r="I299" s="191"/>
      <c r="J299" s="180"/>
      <c r="K299" s="386"/>
      <c r="L299" s="180"/>
      <c r="M299" s="180"/>
      <c r="N299" s="180"/>
    </row>
    <row r="300" spans="1:14" ht="12.75">
      <c r="A300" s="180"/>
      <c r="B300" s="180"/>
      <c r="C300" s="180"/>
      <c r="D300" s="180"/>
      <c r="E300" s="180"/>
      <c r="F300" s="180"/>
      <c r="G300" s="180"/>
      <c r="H300" s="180"/>
      <c r="I300" s="191"/>
      <c r="J300" s="180"/>
      <c r="K300" s="386"/>
      <c r="L300" s="180"/>
      <c r="M300" s="180"/>
      <c r="N300" s="180"/>
    </row>
    <row r="301" spans="1:14" ht="12.75">
      <c r="A301" s="180"/>
      <c r="B301" s="180"/>
      <c r="C301" s="180"/>
      <c r="D301" s="180"/>
      <c r="E301" s="180"/>
      <c r="F301" s="180"/>
      <c r="G301" s="180"/>
      <c r="H301" s="180"/>
      <c r="I301" s="191"/>
      <c r="J301" s="180"/>
      <c r="K301" s="386"/>
      <c r="L301" s="180"/>
      <c r="M301" s="180"/>
      <c r="N301" s="180"/>
    </row>
    <row r="302" spans="1:14" ht="12.75">
      <c r="A302" s="180"/>
      <c r="B302" s="180"/>
      <c r="C302" s="180"/>
      <c r="D302" s="180"/>
      <c r="E302" s="180"/>
      <c r="F302" s="180"/>
      <c r="G302" s="180"/>
      <c r="H302" s="180"/>
      <c r="I302" s="191"/>
      <c r="J302" s="180"/>
      <c r="K302" s="386"/>
      <c r="L302" s="180"/>
      <c r="M302" s="180"/>
      <c r="N302" s="180"/>
    </row>
  </sheetData>
  <sheetProtection/>
  <mergeCells count="36">
    <mergeCell ref="B162:J162"/>
    <mergeCell ref="B164:J164"/>
    <mergeCell ref="B165:J165"/>
    <mergeCell ref="B166:J166"/>
    <mergeCell ref="E189:J189"/>
    <mergeCell ref="B168:J168"/>
    <mergeCell ref="B172:J172"/>
    <mergeCell ref="B173:J173"/>
    <mergeCell ref="C176:D176"/>
    <mergeCell ref="C151:E151"/>
    <mergeCell ref="C152:E152"/>
    <mergeCell ref="C153:E153"/>
    <mergeCell ref="C154:E154"/>
    <mergeCell ref="C155:D155"/>
    <mergeCell ref="B156:E156"/>
    <mergeCell ref="A75:C75"/>
    <mergeCell ref="B85:J85"/>
    <mergeCell ref="B115:C115"/>
    <mergeCell ref="B124:C124"/>
    <mergeCell ref="B148:E148"/>
    <mergeCell ref="B150:E150"/>
    <mergeCell ref="A72:C73"/>
    <mergeCell ref="D72:E72"/>
    <mergeCell ref="G72:J72"/>
    <mergeCell ref="H8:H9"/>
    <mergeCell ref="A10:B10"/>
    <mergeCell ref="G35:G36"/>
    <mergeCell ref="H35:H36"/>
    <mergeCell ref="A8:B9"/>
    <mergeCell ref="E35:F35"/>
    <mergeCell ref="E8:F8"/>
    <mergeCell ref="C8:D8"/>
    <mergeCell ref="A24:B24"/>
    <mergeCell ref="A35:B36"/>
    <mergeCell ref="C35:D35"/>
    <mergeCell ref="G8:G9"/>
  </mergeCells>
  <printOptions/>
  <pageMargins left="0.45" right="0.28" top="0.46" bottom="0.33" header="0.31" footer="0.23"/>
  <pageSetup horizontalDpi="600" verticalDpi="600" orientation="landscape"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Nguyen Tien Dat</cp:lastModifiedBy>
  <cp:lastPrinted>2010-11-10T09:11:32Z</cp:lastPrinted>
  <dcterms:created xsi:type="dcterms:W3CDTF">2009-04-16T05:27:02Z</dcterms:created>
  <dcterms:modified xsi:type="dcterms:W3CDTF">2010-11-10T09:14:16Z</dcterms:modified>
  <cp:category/>
  <cp:version/>
  <cp:contentType/>
  <cp:contentStatus/>
</cp:coreProperties>
</file>